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5168" windowHeight="9900" activeTab="0"/>
  </bookViews>
  <sheets>
    <sheet name="Summary" sheetId="1" r:id="rId1"/>
    <sheet name="Revenue" sheetId="2" r:id="rId2"/>
    <sheet name="Expenditure" sheetId="3" r:id="rId3"/>
  </sheets>
  <definedNames>
    <definedName name="_xlnm.Print_Area" localSheetId="2">'Expenditure'!$A$1:$K$107</definedName>
    <definedName name="_xlnm.Print_Area" localSheetId="1">'Revenue'!$A$1:$K$155</definedName>
    <definedName name="_xlnm.Print_Area" localSheetId="0">'Summary'!$A$1:$M$70</definedName>
    <definedName name="_xlnm.Print_Titles" localSheetId="2">'Expenditure'!$1:$3</definedName>
    <definedName name="_xlnm.Print_Titles" localSheetId="1">'Revenue'!$1:$3</definedName>
  </definedNames>
  <calcPr fullCalcOnLoad="1"/>
</workbook>
</file>

<file path=xl/sharedStrings.xml><?xml version="1.0" encoding="utf-8"?>
<sst xmlns="http://schemas.openxmlformats.org/spreadsheetml/2006/main" count="685" uniqueCount="281">
  <si>
    <t>Sales Tax</t>
  </si>
  <si>
    <t>Inheritance Tax</t>
  </si>
  <si>
    <t>Cig Tax</t>
  </si>
  <si>
    <t>Liquor Permits</t>
  </si>
  <si>
    <t>PUPP Elec/Gas</t>
  </si>
  <si>
    <t>Town Hall Rental</t>
  </si>
  <si>
    <t>Truck Rental</t>
  </si>
  <si>
    <t>Court Fines</t>
  </si>
  <si>
    <t>Garage Sale Permits</t>
  </si>
  <si>
    <t>Other Permits</t>
  </si>
  <si>
    <t>Fixed Asset Sales</t>
  </si>
  <si>
    <t>Interest Inc.</t>
  </si>
  <si>
    <t>Misc Receipts</t>
  </si>
  <si>
    <t>Warner Amex Fees</t>
  </si>
  <si>
    <t>Book Sales</t>
  </si>
  <si>
    <t>Refunds</t>
  </si>
  <si>
    <t>General Fund</t>
  </si>
  <si>
    <t>Original</t>
  </si>
  <si>
    <t>Budget</t>
  </si>
  <si>
    <t>Amended</t>
  </si>
  <si>
    <t>YTD</t>
  </si>
  <si>
    <t>Actual</t>
  </si>
  <si>
    <t>Current</t>
  </si>
  <si>
    <t>Month</t>
  </si>
  <si>
    <t>Encumb.</t>
  </si>
  <si>
    <t>Court Costs</t>
  </si>
  <si>
    <t>Prop Tax Allocation (Utility)</t>
  </si>
  <si>
    <t>Over/</t>
  </si>
  <si>
    <t>(Under)</t>
  </si>
  <si>
    <t>Special Revenue Funds</t>
  </si>
  <si>
    <t>Street Const Maint &amp; Repair</t>
  </si>
  <si>
    <t>State Hwy Improvement Fund</t>
  </si>
  <si>
    <t>Drug Enforcement Fund</t>
  </si>
  <si>
    <t>Municipal Mot Veh Lic Tax</t>
  </si>
  <si>
    <t>Glendale Police Dept Gift</t>
  </si>
  <si>
    <t>Glendale Fire Dept Gift</t>
  </si>
  <si>
    <t>Enforcement &amp; Education Fund</t>
  </si>
  <si>
    <t>Mayor's Computer Fund</t>
  </si>
  <si>
    <t>Post Office Fund</t>
  </si>
  <si>
    <t>Police Pension Fund</t>
  </si>
  <si>
    <t>Rogan Park Trust Fund</t>
  </si>
  <si>
    <t>Park Board Trustee Fund</t>
  </si>
  <si>
    <t>Community Fund</t>
  </si>
  <si>
    <t>Law Enforcement Trust Fund</t>
  </si>
  <si>
    <t>Debt Service Funds</t>
  </si>
  <si>
    <t>Capital Funds</t>
  </si>
  <si>
    <t>Village Capital Fund</t>
  </si>
  <si>
    <t>Water &amp; Sewer Improvement</t>
  </si>
  <si>
    <t>Wastewtr Trt Fac Imp</t>
  </si>
  <si>
    <t>Water Trt Plt Fac Imp</t>
  </si>
  <si>
    <t>WW Capital Imp</t>
  </si>
  <si>
    <t>Enterprise Funds</t>
  </si>
  <si>
    <t>Water Works</t>
  </si>
  <si>
    <t>WWTP Repair &amp; Replace</t>
  </si>
  <si>
    <t>Building Dept</t>
  </si>
  <si>
    <t>Trust &amp; Agency Funds</t>
  </si>
  <si>
    <t>Total Revenue</t>
  </si>
  <si>
    <t>WW Const Loan Retirement</t>
  </si>
  <si>
    <t>Sanitary Sewer Bond Retmnt</t>
  </si>
  <si>
    <t>Rollback/Homestd Tax Exempt</t>
  </si>
  <si>
    <t>EXPENDITURE</t>
  </si>
  <si>
    <t>REVENUE</t>
  </si>
  <si>
    <t>General fund</t>
  </si>
  <si>
    <t>Police</t>
  </si>
  <si>
    <t>Fire</t>
  </si>
  <si>
    <t>Street Lights</t>
  </si>
  <si>
    <t>Traffic Signs &amp; Signals</t>
  </si>
  <si>
    <t>Recreation</t>
  </si>
  <si>
    <t>Parks</t>
  </si>
  <si>
    <t>Community Planning &amp; Zoning</t>
  </si>
  <si>
    <t>Storm Sewers</t>
  </si>
  <si>
    <t>Refuse</t>
  </si>
  <si>
    <t>Street Maintenance</t>
  </si>
  <si>
    <t>Sidewalks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</si>
  <si>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</si>
  <si>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</si>
  <si>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</si>
  <si>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</si>
  <si>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</si>
  <si>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</si>
  <si>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</si>
  <si>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</si>
  <si>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</si>
  <si>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</si>
  <si>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</si>
  <si>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</si>
  <si>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</si>
  <si>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</si>
  <si>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</si>
  <si>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</si>
  <si>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</si>
  <si>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</si>
  <si>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Mayor's Account</t>
  </si>
  <si>
    <t>Mayor's Court</t>
  </si>
  <si>
    <t>Clerk/Treasurer</t>
  </si>
  <si>
    <t>Public Buildings</t>
  </si>
  <si>
    <t>County Auditor Charges</t>
  </si>
  <si>
    <t>State Examiner Fees</t>
  </si>
  <si>
    <t>Tax Deliquent Land Advertise</t>
  </si>
  <si>
    <t>Election Fees</t>
  </si>
  <si>
    <t>Transfer</t>
  </si>
  <si>
    <t>S</t>
  </si>
  <si>
    <t>T</t>
  </si>
  <si>
    <t>U</t>
  </si>
  <si>
    <t>Traffic Safety Grant Fund</t>
  </si>
  <si>
    <t>DARE Grant Fund</t>
  </si>
  <si>
    <t>Municipal Mot Veh License Tax</t>
  </si>
  <si>
    <t>Police Dept Gift</t>
  </si>
  <si>
    <t>Fire Dept Gift</t>
  </si>
  <si>
    <t>Enforcement &amp; Edu Fund</t>
  </si>
  <si>
    <t>Creche Fund Expendable Trst</t>
  </si>
  <si>
    <t>James Carruthers Fund</t>
  </si>
  <si>
    <t>Sanitary Sew Bond Retirement</t>
  </si>
  <si>
    <t>2003 Muni Rd Congress Ave</t>
  </si>
  <si>
    <t>Seage Treatment</t>
  </si>
  <si>
    <t>Village Plan &amp; Gen Imp</t>
  </si>
  <si>
    <t>Water &amp; Swr Sys Impr</t>
  </si>
  <si>
    <t>Sewage Treatment</t>
  </si>
  <si>
    <t>WW Trt Fac Impr Sewage</t>
  </si>
  <si>
    <t>WW Trt Fac Impr Water</t>
  </si>
  <si>
    <t>WW Cap Imp Sewage</t>
  </si>
  <si>
    <t>Sanitary Sewer &amp; Disposal</t>
  </si>
  <si>
    <t>WWTP Repair &amp; Replacement</t>
  </si>
  <si>
    <t>Total Expenditure</t>
  </si>
  <si>
    <t>VILLAGE OF GLENDALE</t>
  </si>
  <si>
    <t>2007 THRU 11/30</t>
  </si>
  <si>
    <t xml:space="preserve">E </t>
  </si>
  <si>
    <t>Subtotal</t>
  </si>
  <si>
    <t>Motor Veh. Lic. Fd (060)</t>
  </si>
  <si>
    <t>St/Local Hwy Dist Fd</t>
  </si>
  <si>
    <t>Contributions</t>
  </si>
  <si>
    <t>Hat &amp; Mug Sales</t>
  </si>
  <si>
    <t>Gasoline Excise Tax (051)</t>
  </si>
  <si>
    <t>Drug Enf-Other Fines &amp; Forf</t>
  </si>
  <si>
    <t>Transfers</t>
  </si>
  <si>
    <t>Misc. Receipts</t>
  </si>
  <si>
    <t>Post Offce Fd/Federal Aid</t>
  </si>
  <si>
    <t>Gen Prop Tax/Roll Homestead</t>
  </si>
  <si>
    <t>Tangible Pers Prop</t>
  </si>
  <si>
    <t>Grants &amp; Aids</t>
  </si>
  <si>
    <t>Car Show Registration</t>
  </si>
  <si>
    <t>Sesquicentennial Celebration</t>
  </si>
  <si>
    <t>Comm Fd-Police Rstrictd Use</t>
  </si>
  <si>
    <t>Comm Fd-Fire Rstrictd Use</t>
  </si>
  <si>
    <t>Sale of Village Flags</t>
  </si>
  <si>
    <t>WW-Consumer Rent</t>
  </si>
  <si>
    <t>Interest Income</t>
  </si>
  <si>
    <t>Sale of Fixed Assets</t>
  </si>
  <si>
    <t>New Loan Proceeds</t>
  </si>
  <si>
    <t>WW-Water Tap Fees</t>
  </si>
  <si>
    <t>WW-Bulk Water Sales</t>
  </si>
  <si>
    <t>Returned Check Charge</t>
  </si>
  <si>
    <t>Misc. Water Receipts</t>
  </si>
  <si>
    <t>WW-New Meter Installation</t>
  </si>
  <si>
    <t>WW-Cut Off Fees</t>
  </si>
  <si>
    <t>Sanitary Sewer &amp; Disposal Fd</t>
  </si>
  <si>
    <t>San Sewer Tap Fees</t>
  </si>
  <si>
    <t>Building Permit Fees</t>
  </si>
  <si>
    <t>L.G.F. Revenue Assistance</t>
  </si>
  <si>
    <t>Revenue</t>
  </si>
  <si>
    <t>Expenditures</t>
  </si>
  <si>
    <t>Building Department</t>
  </si>
  <si>
    <t>Other Expenditures</t>
  </si>
  <si>
    <t>Payment to County Health</t>
  </si>
  <si>
    <t>Net General &amp; Other</t>
  </si>
  <si>
    <t>Net Enterprise</t>
  </si>
  <si>
    <t>Act+Enc</t>
  </si>
  <si>
    <t>This Month</t>
  </si>
  <si>
    <t>Unencumbered Balance</t>
  </si>
  <si>
    <t>Encumbered Amount</t>
  </si>
  <si>
    <t>D.A.R.E. Grant Fund</t>
  </si>
  <si>
    <t>Cash Balance</t>
  </si>
  <si>
    <t>w Carryovr</t>
  </si>
  <si>
    <t>12/31/2008</t>
  </si>
  <si>
    <t>YTD/</t>
  </si>
  <si>
    <t>Predicted</t>
  </si>
  <si>
    <t>Subtotal Expenditures</t>
  </si>
  <si>
    <t>Subtotal  Expenditures &amp; Transfers</t>
  </si>
  <si>
    <t>Net Special Revenue</t>
  </si>
  <si>
    <t>Net Debt Service</t>
  </si>
  <si>
    <t>Net Capital</t>
  </si>
  <si>
    <t>Amend</t>
  </si>
  <si>
    <t>Property Tax/PTA/PUPP/Rollback</t>
  </si>
  <si>
    <t>Net 600 Series Enterprise</t>
  </si>
  <si>
    <t>Revenue (Gen Fund Transfer)</t>
  </si>
  <si>
    <t>2008 THRU 7/2</t>
  </si>
  <si>
    <t>403 Capital Fund</t>
  </si>
  <si>
    <t>404 VPGI Fund</t>
  </si>
  <si>
    <t>Police (radio, vests)</t>
  </si>
  <si>
    <t>Parks (Cleveland Pk grant match)</t>
  </si>
  <si>
    <t>Water Works (Insertion valves +)</t>
  </si>
  <si>
    <t>Fire (turnout gear +)</t>
  </si>
  <si>
    <t>Sewage Treatment (radios, computer)</t>
  </si>
  <si>
    <t>Street Maintenance (dump truck)</t>
  </si>
  <si>
    <t>Mayor's Account (Powerpoint)</t>
  </si>
  <si>
    <t>Clerk/Treasurer (computer upgrades)</t>
  </si>
  <si>
    <t>Public Buildings (town hall lights +)</t>
  </si>
  <si>
    <t>Community Planning</t>
  </si>
  <si>
    <t>Transfers (General Fund)</t>
  </si>
  <si>
    <t>Total Revenue All Funds</t>
  </si>
  <si>
    <t>Total Expenditure All Funds</t>
  </si>
  <si>
    <t>1/1/2008</t>
  </si>
  <si>
    <t>Cash Balance Capital Fund</t>
  </si>
  <si>
    <t>Cash Balance VPGI Fund</t>
  </si>
  <si>
    <t>Net VPGI</t>
  </si>
  <si>
    <t>Cash Balance Enterprise Funds</t>
  </si>
  <si>
    <t>Net General</t>
  </si>
  <si>
    <t>Cash Balance General Fund</t>
  </si>
  <si>
    <t>Revenue 200 Series Special Revenue Funds</t>
  </si>
  <si>
    <t xml:space="preserve">Net 200 &amp; 800 Series Funds </t>
  </si>
  <si>
    <t>Revenue 800 Series Funds</t>
  </si>
  <si>
    <t>Expenditures 800 Series Funds</t>
  </si>
  <si>
    <t xml:space="preserve">Net 800 Series Funds </t>
  </si>
  <si>
    <t>Cash Balance 200&amp;800 Series Funds</t>
  </si>
  <si>
    <t>2008 THRU 6/30</t>
  </si>
  <si>
    <t>Sanitary Sewer Bond Retmnt 301</t>
  </si>
  <si>
    <t>WW Const Loan Retirement 302</t>
  </si>
  <si>
    <t>Enterprise Funds - 300, 400 &amp; 600 Series</t>
  </si>
  <si>
    <t>Special Revenue Funds - 200 &amp; 800 Series</t>
  </si>
  <si>
    <t>Water &amp; Sewer Improvement 405</t>
  </si>
  <si>
    <t>Water Trt PltFac Imp 407</t>
  </si>
  <si>
    <t>WW Capital Imp 408</t>
  </si>
  <si>
    <t>Water Works Sys Impr 405A</t>
  </si>
  <si>
    <t>Sewage Treatment Sys Impr 405B</t>
  </si>
  <si>
    <t>WW Trt Fac Impr Sewage 406</t>
  </si>
  <si>
    <t>WW Trt Fac Impr Water 407</t>
  </si>
  <si>
    <t>WW Cap Imp Sewage 408</t>
  </si>
  <si>
    <t>Water Works 601</t>
  </si>
  <si>
    <t>Sanitary Sewer &amp; Disposal 602</t>
  </si>
  <si>
    <t>WWTP Repair &amp; Replace 603</t>
  </si>
  <si>
    <t>Building Department 605</t>
  </si>
  <si>
    <t>WWTP Repair &amp; Replacement 603</t>
  </si>
  <si>
    <t>Expenditures 200 Series Special Revenue Funds</t>
  </si>
  <si>
    <t>Debt Service Funds 300 Series</t>
  </si>
  <si>
    <t>Capital Funds 400 Series</t>
  </si>
  <si>
    <t>Enterprise Funds 600 Series</t>
  </si>
  <si>
    <t>Refunds/Misc Receipts</t>
  </si>
  <si>
    <t>Net Total All Funds</t>
  </si>
  <si>
    <t>Mayor's Account + Clerk Treas</t>
  </si>
  <si>
    <t>Refuse + Street Maintenance</t>
  </si>
  <si>
    <t>Other (SalesTax, Court, Int.,other)</t>
  </si>
  <si>
    <t>(a)</t>
  </si>
  <si>
    <t>(b)</t>
  </si>
  <si>
    <t>(c)</t>
  </si>
  <si>
    <t>(d)</t>
  </si>
  <si>
    <t>(e)</t>
  </si>
  <si>
    <r>
      <t>Enterprise Funds</t>
    </r>
    <r>
      <rPr>
        <sz val="9"/>
        <rFont val="Arial"/>
        <family val="2"/>
      </rPr>
      <t xml:space="preserve"> - 300, 400 &amp; 600 Series</t>
    </r>
  </si>
  <si>
    <r>
      <t>Special Revenue Funds</t>
    </r>
    <r>
      <rPr>
        <sz val="9"/>
        <rFont val="Arial"/>
        <family val="2"/>
      </rPr>
      <t xml:space="preserve"> - 200 &amp; 800 Series</t>
    </r>
  </si>
  <si>
    <r>
      <t>VPGI Fund</t>
    </r>
    <r>
      <rPr>
        <sz val="9"/>
        <rFont val="Arial"/>
        <family val="2"/>
      </rPr>
      <t xml:space="preserve"> - 404</t>
    </r>
  </si>
  <si>
    <r>
      <t>Capital Fund</t>
    </r>
    <r>
      <rPr>
        <sz val="9"/>
        <rFont val="Arial"/>
        <family val="2"/>
      </rPr>
      <t xml:space="preserve"> - 403</t>
    </r>
  </si>
  <si>
    <t>NA</t>
  </si>
  <si>
    <r>
      <t>WW Const Loan Retirement</t>
    </r>
    <r>
      <rPr>
        <sz val="9"/>
        <rFont val="Arial"/>
        <family val="2"/>
      </rPr>
      <t>-302</t>
    </r>
  </si>
  <si>
    <t>Contingency</t>
  </si>
  <si>
    <t>Transfers to Capital Fund &amp; VPGI</t>
  </si>
  <si>
    <t>Contingency Expenditure</t>
  </si>
  <si>
    <t>Grants and Aids</t>
  </si>
  <si>
    <t>Total</t>
  </si>
  <si>
    <t>+</t>
  </si>
  <si>
    <t>Total All Funds Unencumbered Balance</t>
  </si>
  <si>
    <t>(f)</t>
  </si>
  <si>
    <t>(g)</t>
  </si>
  <si>
    <t>(h)</t>
  </si>
  <si>
    <t>(i)</t>
  </si>
  <si>
    <t>(j)</t>
  </si>
  <si>
    <r>
      <t xml:space="preserve">Revenue </t>
    </r>
    <r>
      <rPr>
        <sz val="9"/>
        <rFont val="Arial"/>
        <family val="2"/>
      </rPr>
      <t>(Gen Fund Xfer-Ord. 2008-16)</t>
    </r>
  </si>
  <si>
    <r>
      <t xml:space="preserve">Revenue </t>
    </r>
    <r>
      <rPr>
        <sz val="9"/>
        <rFont val="Arial"/>
        <family val="2"/>
      </rPr>
      <t>(Gen Fund Xfer-Ord. 2008-34)</t>
    </r>
  </si>
  <si>
    <t>Ord. 2008-11</t>
  </si>
  <si>
    <t>(a) Includes $30,000 increase from Contingency - Ord. 2008-48</t>
  </si>
  <si>
    <t>(b) Includes $3,000 increase from Contingency - Ord. 2008-48</t>
  </si>
  <si>
    <t>(d) $500 xfered from Cont.-Ord-2008-21 &amp; $33,000-Ord 2008-48</t>
  </si>
  <si>
    <t>(e) Transferred to Capital Fund Revenue - Ord. 2008-16</t>
  </si>
  <si>
    <t>(f) Includes $40,300 from Gen Fund Contingency - Ord. 2008-16</t>
  </si>
  <si>
    <t>(g) Incl. $48,915 CSX refund in addition to Gen Fund Xfer</t>
  </si>
  <si>
    <t>(h) Wtr Wrks rev. est. increased $20,000 per Ord 2008-47</t>
  </si>
  <si>
    <t>(i) Utility 2008 collections exceeded budget by $105,407</t>
  </si>
  <si>
    <t>(j) Wtr Wrks exp. auth. incrd $20,000 per Ord 2008-47</t>
  </si>
  <si>
    <t>(k) Includes $48,234 from Duke Energy - Ord. 2008-33</t>
  </si>
  <si>
    <t>(c) Includes $500 transferred from Contingency - Ord 2008-21</t>
  </si>
  <si>
    <t>(k)</t>
  </si>
  <si>
    <t>Subtotal Budgeted Revenue</t>
  </si>
  <si>
    <t>Total  Expenditures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</si>
</sst>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#,##0.0000_);[Red]\(#,##0.0000\)"/>
  </numFmts>
  <fonts count="1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u val="single"/>
      <sz val="10"/>
      <name val="Arial"/>
      <family val="2"/>
    </font>
    <font>
      <u val="single"/>
      <sz val="9"/>
      <name val="Arial"/>
      <family val="2"/>
    </font>
    <font>
      <i/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40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0" fontId="2" fillId="0" borderId="0" xfId="0" applyNumberFormat="1" applyFont="1" applyAlignment="1">
      <alignment/>
    </xf>
    <xf numFmtId="40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0" fontId="3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0" fontId="0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38" fontId="0" fillId="0" borderId="0" xfId="0" applyNumberFormat="1" applyAlignment="1">
      <alignment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center"/>
    </xf>
    <xf numFmtId="38" fontId="0" fillId="0" borderId="0" xfId="0" applyNumberFormat="1" applyAlignment="1">
      <alignment horizontal="right"/>
    </xf>
    <xf numFmtId="38" fontId="0" fillId="0" borderId="0" xfId="0" applyNumberFormat="1" applyFont="1" applyAlignment="1">
      <alignment horizontal="right"/>
    </xf>
    <xf numFmtId="38" fontId="1" fillId="0" borderId="0" xfId="0" applyNumberFormat="1" applyFont="1" applyAlignment="1">
      <alignment horizontal="right"/>
    </xf>
    <xf numFmtId="40" fontId="2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4" fontId="1" fillId="0" borderId="0" xfId="0" applyNumberFormat="1" applyFont="1" applyAlignment="1">
      <alignment horizontal="left"/>
    </xf>
    <xf numFmtId="9" fontId="0" fillId="0" borderId="0" xfId="0" applyNumberFormat="1" applyAlignment="1">
      <alignment horizontal="right"/>
    </xf>
    <xf numFmtId="9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37" fontId="4" fillId="0" borderId="0" xfId="0" applyNumberFormat="1" applyFont="1" applyAlignment="1">
      <alignment horizontal="center"/>
    </xf>
    <xf numFmtId="37" fontId="0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right"/>
    </xf>
    <xf numFmtId="37" fontId="0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6" fillId="0" borderId="0" xfId="0" applyNumberFormat="1" applyFont="1" applyAlignment="1">
      <alignment horizontal="right"/>
    </xf>
    <xf numFmtId="37" fontId="0" fillId="0" borderId="0" xfId="0" applyNumberFormat="1" applyFont="1" applyAlignment="1">
      <alignment horizontal="right"/>
    </xf>
    <xf numFmtId="38" fontId="1" fillId="0" borderId="0" xfId="0" applyNumberFormat="1" applyFont="1" applyAlignment="1">
      <alignment horizontal="center"/>
    </xf>
    <xf numFmtId="38" fontId="1" fillId="0" borderId="0" xfId="0" applyNumberFormat="1" applyFont="1" applyAlignment="1" quotePrefix="1">
      <alignment horizontal="center"/>
    </xf>
    <xf numFmtId="37" fontId="1" fillId="0" borderId="0" xfId="0" applyNumberFormat="1" applyFont="1" applyAlignment="1" quotePrefix="1">
      <alignment horizontal="center"/>
    </xf>
    <xf numFmtId="37" fontId="0" fillId="0" borderId="0" xfId="0" applyNumberFormat="1" applyFont="1" applyAlignment="1">
      <alignment horizontal="left"/>
    </xf>
    <xf numFmtId="37" fontId="4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37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/>
    </xf>
    <xf numFmtId="37" fontId="5" fillId="0" borderId="0" xfId="0" applyNumberFormat="1" applyFont="1" applyAlignment="1">
      <alignment horizontal="center"/>
    </xf>
    <xf numFmtId="38" fontId="2" fillId="0" borderId="0" xfId="0" applyNumberFormat="1" applyFont="1" applyAlignment="1">
      <alignment horizontal="right"/>
    </xf>
    <xf numFmtId="9" fontId="2" fillId="0" borderId="0" xfId="0" applyNumberFormat="1" applyFont="1" applyAlignment="1">
      <alignment horizontal="right"/>
    </xf>
    <xf numFmtId="38" fontId="2" fillId="0" borderId="0" xfId="0" applyNumberFormat="1" applyFont="1" applyAlignment="1">
      <alignment/>
    </xf>
    <xf numFmtId="3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37" fontId="2" fillId="0" borderId="0" xfId="0" applyNumberFormat="1" applyFont="1" applyAlignment="1">
      <alignment horizontal="right"/>
    </xf>
    <xf numFmtId="37" fontId="2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/>
    </xf>
    <xf numFmtId="37" fontId="2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38" fontId="10" fillId="0" borderId="0" xfId="0" applyNumberFormat="1" applyFont="1" applyAlignment="1">
      <alignment/>
    </xf>
    <xf numFmtId="37" fontId="1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3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left"/>
    </xf>
    <xf numFmtId="37" fontId="1" fillId="0" borderId="0" xfId="0" applyNumberFormat="1" applyFont="1" applyBorder="1" applyAlignment="1">
      <alignment horizontal="fill" vertical="center"/>
    </xf>
    <xf numFmtId="37" fontId="3" fillId="0" borderId="0" xfId="0" applyNumberFormat="1" applyFont="1" applyAlignment="1">
      <alignment horizontal="fill" vertical="center"/>
    </xf>
    <xf numFmtId="38" fontId="11" fillId="0" borderId="0" xfId="0" applyNumberFormat="1" applyFont="1" applyBorder="1" applyAlignment="1">
      <alignment horizontal="right"/>
    </xf>
    <xf numFmtId="38" fontId="11" fillId="0" borderId="0" xfId="0" applyNumberFormat="1" applyFont="1" applyBorder="1" applyAlignment="1">
      <alignment/>
    </xf>
    <xf numFmtId="38" fontId="11" fillId="0" borderId="0" xfId="0" applyNumberFormat="1" applyFont="1" applyAlignment="1">
      <alignment horizontal="right"/>
    </xf>
    <xf numFmtId="37" fontId="12" fillId="0" borderId="0" xfId="0" applyNumberFormat="1" applyFont="1" applyAlignment="1">
      <alignment horizontal="left"/>
    </xf>
    <xf numFmtId="38" fontId="2" fillId="0" borderId="0" xfId="0" applyNumberFormat="1" applyFont="1" applyAlignment="1">
      <alignment horizontal="center"/>
    </xf>
    <xf numFmtId="38" fontId="3" fillId="0" borderId="0" xfId="0" applyNumberFormat="1" applyFont="1" applyAlignment="1">
      <alignment horizontal="right"/>
    </xf>
    <xf numFmtId="38" fontId="11" fillId="0" borderId="0" xfId="0" applyNumberFormat="1" applyFont="1" applyAlignment="1">
      <alignment/>
    </xf>
    <xf numFmtId="37" fontId="3" fillId="0" borderId="0" xfId="0" applyNumberFormat="1" applyFont="1" applyAlignment="1">
      <alignment horizontal="right"/>
    </xf>
    <xf numFmtId="37" fontId="11" fillId="0" borderId="0" xfId="0" applyNumberFormat="1" applyFont="1" applyAlignment="1">
      <alignment horizontal="right"/>
    </xf>
    <xf numFmtId="37" fontId="3" fillId="0" borderId="0" xfId="0" applyNumberFormat="1" applyFont="1" applyBorder="1" applyAlignment="1">
      <alignment horizontal="fill" vertical="center"/>
    </xf>
    <xf numFmtId="37" fontId="3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7" fontId="3" fillId="0" borderId="0" xfId="0" applyNumberFormat="1" applyFont="1" applyAlignment="1">
      <alignment horizontal="center"/>
    </xf>
    <xf numFmtId="38" fontId="3" fillId="0" borderId="0" xfId="0" applyNumberFormat="1" applyFont="1" applyAlignment="1">
      <alignment horizontal="center"/>
    </xf>
    <xf numFmtId="37" fontId="3" fillId="0" borderId="0" xfId="0" applyNumberFormat="1" applyFont="1" applyAlignment="1" quotePrefix="1">
      <alignment horizontal="center"/>
    </xf>
    <xf numFmtId="0" fontId="5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38" fontId="4" fillId="0" borderId="0" xfId="0" applyNumberFormat="1" applyFont="1" applyAlignment="1">
      <alignment horizontal="right"/>
    </xf>
    <xf numFmtId="9" fontId="4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4"/>
  <sheetViews>
    <sheetView tabSelected="1" workbookViewId="0" topLeftCell="A1">
      <selection activeCell="A1" sqref="A1"/>
    </sheetView>
  </sheetViews>
  <sheetFormatPr defaultColWidth="9.140625" defaultRowHeight="12.75"/>
  <cols>
    <col min="1" max="2" width="2.7109375" style="32" customWidth="1"/>
    <col min="3" max="3" width="2.7109375" style="14" customWidth="1"/>
    <col min="4" max="4" width="2.7109375" style="0" customWidth="1"/>
    <col min="5" max="5" width="27.7109375" style="0" customWidth="1"/>
    <col min="6" max="6" width="10.7109375" style="0" customWidth="1"/>
    <col min="7" max="7" width="1.7109375" style="4" customWidth="1"/>
    <col min="8" max="8" width="10.7109375" style="0" customWidth="1"/>
    <col min="9" max="9" width="1.7109375" style="4" customWidth="1"/>
    <col min="10" max="11" width="10.7109375" style="0" customWidth="1"/>
    <col min="12" max="12" width="1.7109375" style="4" customWidth="1"/>
    <col min="13" max="13" width="6.7109375" style="0" customWidth="1"/>
    <col min="14" max="14" width="10.7109375" style="0" hidden="1" customWidth="1"/>
  </cols>
  <sheetData>
    <row r="1" spans="1:13" ht="36" customHeight="1">
      <c r="A1" s="51"/>
      <c r="M1" s="28"/>
    </row>
    <row r="2" spans="1:14" s="10" customFormat="1" ht="12.75" customHeight="1">
      <c r="A2" s="30"/>
      <c r="B2" s="30"/>
      <c r="C2" s="33"/>
      <c r="F2" s="10" t="s">
        <v>17</v>
      </c>
      <c r="G2" s="8"/>
      <c r="H2" s="10" t="s">
        <v>19</v>
      </c>
      <c r="I2" s="8"/>
      <c r="J2" s="10" t="s">
        <v>167</v>
      </c>
      <c r="K2" s="10" t="s">
        <v>20</v>
      </c>
      <c r="L2" s="8"/>
      <c r="M2" s="10" t="s">
        <v>174</v>
      </c>
      <c r="N2" s="10" t="s">
        <v>175</v>
      </c>
    </row>
    <row r="3" spans="1:14" s="10" customFormat="1" ht="12.75" customHeight="1">
      <c r="A3" s="13" t="s">
        <v>16</v>
      </c>
      <c r="B3" s="13"/>
      <c r="C3" s="33"/>
      <c r="F3" s="3" t="s">
        <v>266</v>
      </c>
      <c r="G3" s="3"/>
      <c r="H3" s="10" t="s">
        <v>172</v>
      </c>
      <c r="I3" s="8"/>
      <c r="J3" s="10" t="s">
        <v>21</v>
      </c>
      <c r="K3" s="10" t="s">
        <v>166</v>
      </c>
      <c r="L3" s="8"/>
      <c r="M3" s="10" t="s">
        <v>181</v>
      </c>
      <c r="N3" s="10" t="s">
        <v>166</v>
      </c>
    </row>
    <row r="4" spans="1:14" s="18" customFormat="1" ht="12.75" customHeight="1">
      <c r="A4" s="31"/>
      <c r="B4" s="31"/>
      <c r="C4" s="14" t="s">
        <v>159</v>
      </c>
      <c r="D4" s="20"/>
      <c r="E4" s="20"/>
      <c r="F4" s="22"/>
      <c r="G4" s="55"/>
      <c r="H4" s="21"/>
      <c r="I4" s="78"/>
      <c r="J4" s="21"/>
      <c r="K4" s="21"/>
      <c r="L4" s="78"/>
      <c r="N4" s="21"/>
    </row>
    <row r="5" spans="4:14" s="3" customFormat="1" ht="11.25">
      <c r="D5" s="16" t="s">
        <v>182</v>
      </c>
      <c r="E5" s="16"/>
      <c r="F5" s="55">
        <f>Revenue!D9+Revenue!D16+Revenue!D17+Revenue!D18</f>
        <v>2114481</v>
      </c>
      <c r="G5" s="55"/>
      <c r="H5" s="55">
        <f>Revenue!E9+Revenue!E16+Revenue!E17+Revenue!E18</f>
        <v>2114481</v>
      </c>
      <c r="I5" s="55"/>
      <c r="J5" s="55">
        <f>Revenue!G9+Revenue!G16+Revenue!G17+Revenue!G18</f>
        <v>0</v>
      </c>
      <c r="K5" s="55">
        <f>Revenue!K9+Revenue!K16+Revenue!K17+Revenue!K18</f>
        <v>2094247.16</v>
      </c>
      <c r="L5" s="55"/>
      <c r="M5" s="56">
        <f>K5/H5</f>
        <v>0.990430824396152</v>
      </c>
      <c r="N5" s="55">
        <f>H5</f>
        <v>2114481</v>
      </c>
    </row>
    <row r="6" spans="4:14" s="3" customFormat="1" ht="11.25">
      <c r="D6" s="16" t="s">
        <v>240</v>
      </c>
      <c r="E6" s="16"/>
      <c r="F6" s="74">
        <f>Revenue!D10+Revenue!D11+Revenue!D13+Revenue!D14+Revenue!D15+Revenue!D19+Revenue!D20+Revenue!D21+Revenue!D22+Revenue!D23+Revenue!D24+Revenue!D27+Revenue!D28+Revenue!D29+Revenue!D30+Revenue!D31</f>
        <v>336860</v>
      </c>
      <c r="G6" s="74"/>
      <c r="H6" s="74">
        <f>Revenue!E10+Revenue!E11+Revenue!E13+Revenue!E14+Revenue!E15+Revenue!E19+Revenue!E20+Revenue!E21+Revenue!E22+Revenue!E23+Revenue!E24+Revenue!E27+Revenue!E28+Revenue!E29+Revenue!E30+Revenue!E31</f>
        <v>336860</v>
      </c>
      <c r="I6" s="74"/>
      <c r="J6" s="74">
        <f>Revenue!G10+Revenue!G11+Revenue!G13+Revenue!G14+Revenue!G15+Revenue!G19+Revenue!G20+Revenue!G21+Revenue!G22+Revenue!G23+Revenue!G24+Revenue!G27+Revenue!G28+Revenue!G29+Revenue!G30+Revenue!G31</f>
        <v>33814.78</v>
      </c>
      <c r="K6" s="74">
        <f>Revenue!K10+Revenue!K11+Revenue!K13+Revenue!K14+Revenue!K15+Revenue!K19+Revenue!K20+Revenue!K21+Revenue!K22+Revenue!K23+Revenue!K27+Revenue!K24+Revenue!K25+Revenue!K26+Revenue!K28+Revenue!K29+Revenue!K30+Revenue!K31</f>
        <v>279645.83999999997</v>
      </c>
      <c r="L6" s="55"/>
      <c r="M6" s="56">
        <f>K6/H6</f>
        <v>0.8301544855429555</v>
      </c>
      <c r="N6" s="55">
        <f>H6</f>
        <v>336860</v>
      </c>
    </row>
    <row r="7" spans="4:14" s="3" customFormat="1" ht="11.25">
      <c r="D7" s="16"/>
      <c r="E7" s="59" t="s">
        <v>279</v>
      </c>
      <c r="F7" s="55">
        <f>SUM(F5:F6)</f>
        <v>2451341</v>
      </c>
      <c r="G7" s="55"/>
      <c r="H7" s="55">
        <f>SUM(H5:H6)</f>
        <v>2451341</v>
      </c>
      <c r="I7" s="55"/>
      <c r="J7" s="55">
        <f>SUM(J5:J6)</f>
        <v>33814.78</v>
      </c>
      <c r="K7" s="55">
        <f>SUM(K5:K6)</f>
        <v>2373893</v>
      </c>
      <c r="L7" s="55"/>
      <c r="M7" s="56">
        <f>K7/H7</f>
        <v>0.9684058643819852</v>
      </c>
      <c r="N7" s="55"/>
    </row>
    <row r="8" spans="4:14" s="3" customFormat="1" ht="11.25">
      <c r="D8" s="4" t="s">
        <v>1</v>
      </c>
      <c r="E8" s="4"/>
      <c r="F8" s="76">
        <f>Revenue!D12</f>
        <v>0</v>
      </c>
      <c r="G8" s="55"/>
      <c r="H8" s="76">
        <f>Revenue!E12</f>
        <v>0</v>
      </c>
      <c r="I8" s="55"/>
      <c r="J8" s="76">
        <f>Revenue!G12</f>
        <v>0</v>
      </c>
      <c r="K8" s="76">
        <f>Revenue!K12</f>
        <v>176397.86</v>
      </c>
      <c r="L8" s="55"/>
      <c r="M8" s="56" t="s">
        <v>250</v>
      </c>
      <c r="N8" s="55">
        <f>K8</f>
        <v>176397.86</v>
      </c>
    </row>
    <row r="9" spans="5:14" s="33" customFormat="1" ht="12.75" customHeight="1">
      <c r="E9" s="26" t="s">
        <v>56</v>
      </c>
      <c r="F9" s="23">
        <f>SUM(F7:F8)</f>
        <v>2451341</v>
      </c>
      <c r="G9" s="55"/>
      <c r="H9" s="23">
        <f>SUM(H7:H8)</f>
        <v>2451341</v>
      </c>
      <c r="I9" s="55"/>
      <c r="J9" s="23">
        <f>SUM(J7:J8)</f>
        <v>33814.78</v>
      </c>
      <c r="K9" s="23">
        <f>SUM(K7:K8)</f>
        <v>2550290.86</v>
      </c>
      <c r="L9" s="55"/>
      <c r="M9" s="67">
        <f>K9/H9</f>
        <v>1.0403656039694191</v>
      </c>
      <c r="N9" s="23">
        <f>SUM(N5:N8)</f>
        <v>2627738.86</v>
      </c>
    </row>
    <row r="10" spans="3:14" s="10" customFormat="1" ht="12.75" customHeight="1">
      <c r="C10" s="14" t="s">
        <v>160</v>
      </c>
      <c r="E10" s="9"/>
      <c r="F10" s="24"/>
      <c r="G10" s="79"/>
      <c r="H10" s="24"/>
      <c r="I10" s="79"/>
      <c r="J10" s="24"/>
      <c r="K10" s="24"/>
      <c r="L10" s="79"/>
      <c r="M10" s="9"/>
      <c r="N10" s="23"/>
    </row>
    <row r="11" spans="4:14" s="4" customFormat="1" ht="11.25">
      <c r="D11" s="4" t="s">
        <v>63</v>
      </c>
      <c r="F11" s="57">
        <f>Expenditure!D6</f>
        <v>775987</v>
      </c>
      <c r="G11" s="57"/>
      <c r="H11" s="57">
        <f>Expenditure!E6</f>
        <v>803603.22</v>
      </c>
      <c r="I11" s="57"/>
      <c r="J11" s="57">
        <f>Expenditure!G6</f>
        <v>65600.49</v>
      </c>
      <c r="K11" s="57">
        <f>Expenditure!K6</f>
        <v>797724.43</v>
      </c>
      <c r="L11" s="57"/>
      <c r="M11" s="56">
        <f aca="true" t="shared" si="0" ref="M11:M19">K11/H11</f>
        <v>0.9926844618666412</v>
      </c>
      <c r="N11" s="55">
        <f>H11</f>
        <v>803603.22</v>
      </c>
    </row>
    <row r="12" spans="4:14" s="4" customFormat="1" ht="12.75">
      <c r="D12" s="4" t="s">
        <v>239</v>
      </c>
      <c r="F12" s="57">
        <f>Expenditure!D15+Expenditure!D16</f>
        <v>731948</v>
      </c>
      <c r="G12" s="57"/>
      <c r="H12" s="57">
        <f>Expenditure!E15+Expenditure!E16</f>
        <v>790341.51</v>
      </c>
      <c r="I12" s="77" t="s">
        <v>241</v>
      </c>
      <c r="J12" s="57">
        <f>Expenditure!G15+Expenditure!G16</f>
        <v>71517.04000000001</v>
      </c>
      <c r="K12" s="57">
        <f>Expenditure!K15+Expenditure!K16</f>
        <v>771732.6900000001</v>
      </c>
      <c r="L12" s="57"/>
      <c r="M12" s="56">
        <f t="shared" si="0"/>
        <v>0.9764547100657791</v>
      </c>
      <c r="N12" s="55">
        <f>H12</f>
        <v>790341.51</v>
      </c>
    </row>
    <row r="13" spans="4:14" s="4" customFormat="1" ht="12.75">
      <c r="D13" s="4" t="s">
        <v>238</v>
      </c>
      <c r="F13" s="57">
        <f>Expenditure!D18+Expenditure!D20</f>
        <v>350257</v>
      </c>
      <c r="G13" s="57"/>
      <c r="H13" s="57">
        <f>Expenditure!E18+Expenditure!E20</f>
        <v>355674.32</v>
      </c>
      <c r="I13" s="77" t="s">
        <v>242</v>
      </c>
      <c r="J13" s="57">
        <f>Expenditure!G18+Expenditure!G20</f>
        <v>18986</v>
      </c>
      <c r="K13" s="57">
        <f>Expenditure!K18+Expenditure!K20</f>
        <v>355255.20999999996</v>
      </c>
      <c r="L13" s="57"/>
      <c r="M13" s="56">
        <f t="shared" si="0"/>
        <v>0.9988216467244527</v>
      </c>
      <c r="N13" s="55">
        <f>H13</f>
        <v>355674.32</v>
      </c>
    </row>
    <row r="14" spans="4:14" s="4" customFormat="1" ht="11.25">
      <c r="D14" s="4" t="s">
        <v>64</v>
      </c>
      <c r="F14" s="57">
        <f>Expenditure!D7</f>
        <v>149626</v>
      </c>
      <c r="G14" s="57"/>
      <c r="H14" s="57">
        <f>Expenditure!E7</f>
        <v>154784.17</v>
      </c>
      <c r="I14" s="57"/>
      <c r="J14" s="57">
        <f>Expenditure!G7</f>
        <v>17768.88</v>
      </c>
      <c r="K14" s="57">
        <f>Expenditure!K7</f>
        <v>154780.92</v>
      </c>
      <c r="L14" s="57"/>
      <c r="M14" s="56">
        <f t="shared" si="0"/>
        <v>0.9999790030207869</v>
      </c>
      <c r="N14" s="55">
        <f>H14</f>
        <v>154784.17</v>
      </c>
    </row>
    <row r="15" spans="4:14" s="4" customFormat="1" ht="12.75">
      <c r="D15" s="4" t="s">
        <v>162</v>
      </c>
      <c r="F15" s="75">
        <f>Expenditure!D8+Expenditure!D9+Expenditure!D10+Expenditure!D11+Expenditure!D12+Expenditure!D13+Expenditure!D14+Expenditure!D17+Expenditure!D19+Expenditure!D21+Expenditure!D22+Expenditure!D23+Expenditure!D24+Expenditure!D25</f>
        <v>252208</v>
      </c>
      <c r="G15" s="75"/>
      <c r="H15" s="75">
        <f>Expenditure!E8+Expenditure!E9+Expenditure!E10+Expenditure!E11+Expenditure!E12+Expenditure!E13+Expenditure!E14+Expenditure!E17+Expenditure!E19+Expenditure!E21+Expenditure!E22+Expenditure!E23+Expenditure!E24+Expenditure!E25</f>
        <v>275964.44</v>
      </c>
      <c r="I15" s="77" t="s">
        <v>243</v>
      </c>
      <c r="J15" s="75">
        <f>Expenditure!G8+Expenditure!G9+Expenditure!G10+Expenditure!G11+Expenditure!G12+Expenditure!G13+Expenditure!G14+Expenditure!G17+Expenditure!G19+Expenditure!G21+Expenditure!G22+Expenditure!G23+Expenditure!G24+Expenditure!G25</f>
        <v>18444.94</v>
      </c>
      <c r="K15" s="75">
        <f>Expenditure!K8+Expenditure!K9+Expenditure!K10+Expenditure!K11+Expenditure!K12+Expenditure!K13+Expenditure!K14+Expenditure!K17+Expenditure!K19+Expenditure!K21+Expenditure!K22+Expenditure!K23+Expenditure!K24+Expenditure!K25</f>
        <v>249181.63000000003</v>
      </c>
      <c r="L15" s="57"/>
      <c r="M15" s="56">
        <f t="shared" si="0"/>
        <v>0.902948329139798</v>
      </c>
      <c r="N15" s="55">
        <f>H15</f>
        <v>275964.44</v>
      </c>
    </row>
    <row r="16" spans="5:14" s="4" customFormat="1" ht="12.75" customHeight="1">
      <c r="E16" s="59" t="s">
        <v>176</v>
      </c>
      <c r="F16" s="57">
        <f>SUM(F11:F15)</f>
        <v>2260026</v>
      </c>
      <c r="G16" s="57"/>
      <c r="H16" s="57">
        <f>SUM(H11:H15)</f>
        <v>2380367.66</v>
      </c>
      <c r="I16" s="57"/>
      <c r="J16" s="57">
        <f>SUM(J11:J15)</f>
        <v>192317.35000000003</v>
      </c>
      <c r="K16" s="57">
        <f>SUM(K11:K15)</f>
        <v>2328674.88</v>
      </c>
      <c r="L16" s="57"/>
      <c r="M16" s="56">
        <f t="shared" si="0"/>
        <v>0.9782836992500561</v>
      </c>
      <c r="N16" s="57">
        <f>SUM(N11:N15)</f>
        <v>2380367.66</v>
      </c>
    </row>
    <row r="17" spans="4:14" s="4" customFormat="1" ht="12.75" customHeight="1">
      <c r="D17" s="4" t="s">
        <v>253</v>
      </c>
      <c r="F17" s="57">
        <f>Revenue!D87+Revenue!D92</f>
        <v>212845</v>
      </c>
      <c r="G17" s="57"/>
      <c r="H17" s="57">
        <f>Revenue!E87+Revenue!E92</f>
        <v>212845</v>
      </c>
      <c r="I17" s="57"/>
      <c r="J17" s="57">
        <f>Revenue!G87+Revenue!G92</f>
        <v>0</v>
      </c>
      <c r="K17" s="57">
        <f>H17</f>
        <v>212845</v>
      </c>
      <c r="M17" s="56">
        <f t="shared" si="0"/>
        <v>1</v>
      </c>
      <c r="N17" s="55">
        <f>H17+K25-H25</f>
        <v>253145</v>
      </c>
    </row>
    <row r="18" spans="4:14" s="4" customFormat="1" ht="12.75" customHeight="1">
      <c r="D18" s="4" t="s">
        <v>254</v>
      </c>
      <c r="F18" s="75">
        <f>Expenditure!D27-F17</f>
        <v>86101</v>
      </c>
      <c r="G18" s="75"/>
      <c r="H18" s="75">
        <f>Expenditure!E27-H17</f>
        <v>52601</v>
      </c>
      <c r="I18" s="77" t="s">
        <v>244</v>
      </c>
      <c r="J18" s="75">
        <f>Expenditure!G27-Summary!J17</f>
        <v>0</v>
      </c>
      <c r="K18" s="75">
        <f>Expenditure!K27-Summary!H17</f>
        <v>40301</v>
      </c>
      <c r="L18" s="77" t="s">
        <v>245</v>
      </c>
      <c r="M18" s="56">
        <f t="shared" si="0"/>
        <v>0.7661641413661338</v>
      </c>
      <c r="N18" s="55"/>
    </row>
    <row r="19" spans="5:14" s="14" customFormat="1" ht="12.75" customHeight="1">
      <c r="E19" s="26" t="s">
        <v>280</v>
      </c>
      <c r="F19" s="65">
        <f>SUM(F16:F18)</f>
        <v>2558972</v>
      </c>
      <c r="G19" s="80"/>
      <c r="H19" s="65">
        <f>SUM(H16:H18)</f>
        <v>2645813.66</v>
      </c>
      <c r="I19" s="80"/>
      <c r="J19" s="65">
        <f>SUM(J16:J18)</f>
        <v>192317.35000000003</v>
      </c>
      <c r="K19" s="65">
        <f>SUM(K16:K18)</f>
        <v>2581820.88</v>
      </c>
      <c r="L19" s="57"/>
      <c r="M19" s="67">
        <f t="shared" si="0"/>
        <v>0.9758135726005738</v>
      </c>
      <c r="N19" s="64">
        <f>N16+N17</f>
        <v>2633512.66</v>
      </c>
    </row>
    <row r="20" spans="5:14" s="35" customFormat="1" ht="12.75" customHeight="1">
      <c r="E20" s="42" t="s">
        <v>206</v>
      </c>
      <c r="F20" s="42">
        <f>F9-F19</f>
        <v>-107631</v>
      </c>
      <c r="G20" s="60"/>
      <c r="H20" s="42">
        <f>H9-H19</f>
        <v>-194472.66000000015</v>
      </c>
      <c r="I20" s="60"/>
      <c r="J20" s="42">
        <f>J9-J19</f>
        <v>-158502.57000000004</v>
      </c>
      <c r="K20" s="42">
        <f>K9-K19</f>
        <v>-31530.02000000002</v>
      </c>
      <c r="L20" s="60"/>
      <c r="M20" s="42"/>
      <c r="N20" s="42">
        <f>N9-N19</f>
        <v>-5773.800000000279</v>
      </c>
    </row>
    <row r="21" spans="3:14" s="36" customFormat="1" ht="12.75" customHeight="1">
      <c r="C21" s="35"/>
      <c r="E21" s="9" t="s">
        <v>168</v>
      </c>
      <c r="F21" s="37">
        <f>F23-F22</f>
        <v>635644.5000000003</v>
      </c>
      <c r="G21" s="81"/>
      <c r="H21" s="37"/>
      <c r="I21" s="81"/>
      <c r="J21" s="37"/>
      <c r="K21" s="37">
        <f>F23+K20</f>
        <v>690956.14</v>
      </c>
      <c r="L21" s="81"/>
      <c r="M21" s="37"/>
      <c r="N21" s="37"/>
    </row>
    <row r="22" spans="1:14" s="36" customFormat="1" ht="12.75" customHeight="1" hidden="1">
      <c r="A22" s="34"/>
      <c r="B22" s="34"/>
      <c r="C22" s="35"/>
      <c r="E22" s="9" t="s">
        <v>169</v>
      </c>
      <c r="F22" s="37">
        <f>Expenditure!E5-Expenditure!D5</f>
        <v>86841.65999999968</v>
      </c>
      <c r="G22" s="81"/>
      <c r="H22" s="37"/>
      <c r="I22" s="81"/>
      <c r="J22" s="37"/>
      <c r="K22" s="37">
        <f>Expenditure!H5</f>
        <v>71517.87000000001</v>
      </c>
      <c r="L22" s="81"/>
      <c r="M22" s="37"/>
      <c r="N22" s="37"/>
    </row>
    <row r="23" spans="5:14" s="58" customFormat="1" ht="11.25">
      <c r="E23" s="59" t="s">
        <v>171</v>
      </c>
      <c r="F23" s="60">
        <v>722486.16</v>
      </c>
      <c r="G23" s="60"/>
      <c r="H23" s="60"/>
      <c r="I23" s="60"/>
      <c r="J23" s="60"/>
      <c r="K23" s="60">
        <f>K21+K22</f>
        <v>762474.01</v>
      </c>
      <c r="L23" s="60"/>
      <c r="M23" s="60"/>
      <c r="N23" s="60"/>
    </row>
    <row r="24" spans="1:14" s="36" customFormat="1" ht="12.75" customHeight="1">
      <c r="A24" s="47" t="s">
        <v>249</v>
      </c>
      <c r="E24" s="37"/>
      <c r="F24" s="37"/>
      <c r="G24" s="81"/>
      <c r="H24" s="37"/>
      <c r="I24" s="81"/>
      <c r="J24" s="37"/>
      <c r="K24" s="37"/>
      <c r="L24" s="81"/>
      <c r="M24" s="37"/>
      <c r="N24" s="37"/>
    </row>
    <row r="25" spans="1:14" s="36" customFormat="1" ht="12.75" customHeight="1">
      <c r="A25" s="46"/>
      <c r="B25" s="46"/>
      <c r="C25" s="14" t="s">
        <v>264</v>
      </c>
      <c r="E25" s="37"/>
      <c r="F25" s="42">
        <f>F188</f>
        <v>114300</v>
      </c>
      <c r="G25" s="60"/>
      <c r="H25" s="42">
        <f>H188</f>
        <v>114300</v>
      </c>
      <c r="I25" s="60"/>
      <c r="J25" s="42">
        <f>J188</f>
        <v>0</v>
      </c>
      <c r="K25" s="42">
        <f>K188</f>
        <v>154600</v>
      </c>
      <c r="L25" s="77" t="s">
        <v>259</v>
      </c>
      <c r="M25" s="28">
        <f>K25/H25</f>
        <v>1.352580927384077</v>
      </c>
      <c r="N25" s="42">
        <f>N188</f>
        <v>154600</v>
      </c>
    </row>
    <row r="26" spans="1:14" s="36" customFormat="1" ht="12.75" customHeight="1">
      <c r="A26" s="46"/>
      <c r="B26" s="46"/>
      <c r="C26" s="14" t="s">
        <v>160</v>
      </c>
      <c r="E26" s="37"/>
      <c r="F26" s="66">
        <f>F202</f>
        <v>154600</v>
      </c>
      <c r="G26" s="82"/>
      <c r="H26" s="66">
        <f>H202</f>
        <v>163188.99</v>
      </c>
      <c r="I26" s="82"/>
      <c r="J26" s="66">
        <f>J202</f>
        <v>9912.77</v>
      </c>
      <c r="K26" s="66">
        <f>K202</f>
        <v>128542.70000000001</v>
      </c>
      <c r="L26" s="60"/>
      <c r="M26" s="28">
        <f>K26/H26</f>
        <v>0.7876922334037365</v>
      </c>
      <c r="N26" s="42">
        <f>N202</f>
        <v>166338.99</v>
      </c>
    </row>
    <row r="27" spans="1:14" s="35" customFormat="1" ht="12.75" customHeight="1">
      <c r="A27" s="46"/>
      <c r="B27" s="46"/>
      <c r="E27" s="42" t="s">
        <v>180</v>
      </c>
      <c r="F27" s="42">
        <f>F25-F26</f>
        <v>-40300</v>
      </c>
      <c r="G27" s="60"/>
      <c r="H27" s="42">
        <f>H25-H26</f>
        <v>-48888.98999999999</v>
      </c>
      <c r="I27" s="60"/>
      <c r="J27" s="42">
        <f>J25-J26</f>
        <v>-9912.77</v>
      </c>
      <c r="K27" s="42">
        <f>K25-K26</f>
        <v>26057.29999999999</v>
      </c>
      <c r="L27" s="60"/>
      <c r="M27" s="42"/>
      <c r="N27" s="42">
        <f>N25-N26</f>
        <v>-11738.98999999999</v>
      </c>
    </row>
    <row r="28" spans="1:14" s="36" customFormat="1" ht="12.75" customHeight="1">
      <c r="A28" s="46"/>
      <c r="B28" s="46"/>
      <c r="E28" s="9" t="s">
        <v>168</v>
      </c>
      <c r="F28" s="37">
        <f>F30-F29</f>
        <v>70201.47000000002</v>
      </c>
      <c r="G28" s="81"/>
      <c r="H28" s="37"/>
      <c r="I28" s="81"/>
      <c r="J28" s="37"/>
      <c r="K28" s="37">
        <f>F30+K27</f>
        <v>104847.76</v>
      </c>
      <c r="L28" s="81"/>
      <c r="M28" s="37"/>
      <c r="N28" s="37"/>
    </row>
    <row r="29" spans="1:14" s="36" customFormat="1" ht="12.75" customHeight="1" hidden="1">
      <c r="A29" s="46"/>
      <c r="B29" s="46"/>
      <c r="E29" s="9" t="s">
        <v>169</v>
      </c>
      <c r="F29" s="37">
        <f>Expenditure!E53-Expenditure!D53</f>
        <v>8588.98999999999</v>
      </c>
      <c r="G29" s="81"/>
      <c r="H29" s="37"/>
      <c r="I29" s="81"/>
      <c r="J29" s="37"/>
      <c r="K29" s="37">
        <f>Expenditure!H53</f>
        <v>82968.79000000001</v>
      </c>
      <c r="L29" s="81"/>
      <c r="M29" s="37"/>
      <c r="N29" s="37"/>
    </row>
    <row r="30" spans="1:14" s="58" customFormat="1" ht="11.25">
      <c r="A30" s="61"/>
      <c r="B30" s="61"/>
      <c r="E30" s="59" t="s">
        <v>171</v>
      </c>
      <c r="F30" s="60">
        <v>78790.46</v>
      </c>
      <c r="G30" s="60"/>
      <c r="H30" s="60"/>
      <c r="I30" s="60"/>
      <c r="J30" s="60"/>
      <c r="K30" s="60">
        <f>K28+K29</f>
        <v>187816.55</v>
      </c>
      <c r="L30" s="60"/>
      <c r="M30" s="60"/>
      <c r="N30" s="60"/>
    </row>
    <row r="31" spans="1:14" s="36" customFormat="1" ht="12.75" customHeight="1">
      <c r="A31" s="47" t="s">
        <v>248</v>
      </c>
      <c r="E31" s="37"/>
      <c r="F31" s="37"/>
      <c r="G31" s="81"/>
      <c r="H31" s="37"/>
      <c r="I31" s="81"/>
      <c r="J31" s="37"/>
      <c r="K31" s="37"/>
      <c r="L31" s="86"/>
      <c r="M31" s="37"/>
      <c r="N31" s="37"/>
    </row>
    <row r="32" spans="1:14" s="36" customFormat="1" ht="12.75" customHeight="1">
      <c r="A32" s="46"/>
      <c r="B32" s="46"/>
      <c r="C32" s="14" t="s">
        <v>265</v>
      </c>
      <c r="E32" s="37"/>
      <c r="F32" s="42">
        <f>F221</f>
        <v>98545</v>
      </c>
      <c r="G32" s="60"/>
      <c r="H32" s="42">
        <f>H221</f>
        <v>98545</v>
      </c>
      <c r="I32" s="60"/>
      <c r="J32" s="42">
        <f>J221</f>
        <v>0</v>
      </c>
      <c r="K32" s="42">
        <f>K221</f>
        <v>147065.3</v>
      </c>
      <c r="L32" s="77" t="s">
        <v>260</v>
      </c>
      <c r="M32" s="28">
        <f>K32/H32</f>
        <v>1.4923669389618954</v>
      </c>
      <c r="N32" s="42">
        <f>N221</f>
        <v>147064.3</v>
      </c>
    </row>
    <row r="33" spans="1:14" s="36" customFormat="1" ht="12.75" customHeight="1">
      <c r="A33" s="46"/>
      <c r="B33" s="46"/>
      <c r="C33" s="14" t="s">
        <v>160</v>
      </c>
      <c r="E33" s="37"/>
      <c r="F33" s="42">
        <f>F234-F233</f>
        <v>247612</v>
      </c>
      <c r="G33" s="60"/>
      <c r="H33" s="42">
        <f>H234-H233</f>
        <v>287612</v>
      </c>
      <c r="I33" s="60"/>
      <c r="J33" s="42">
        <f>J234-J233</f>
        <v>261.34</v>
      </c>
      <c r="K33" s="42">
        <f>K234-K233</f>
        <v>290575.31</v>
      </c>
      <c r="L33" s="77"/>
      <c r="M33" s="28">
        <f>K33/H33</f>
        <v>1.01030315146795</v>
      </c>
      <c r="N33" s="42"/>
    </row>
    <row r="34" spans="1:14" s="36" customFormat="1" ht="12.75" customHeight="1">
      <c r="A34" s="46"/>
      <c r="B34" s="46"/>
      <c r="C34" s="14" t="s">
        <v>254</v>
      </c>
      <c r="E34" s="37"/>
      <c r="F34" s="66">
        <f>F233</f>
        <v>100000</v>
      </c>
      <c r="G34" s="82"/>
      <c r="H34" s="66">
        <f>H233</f>
        <v>100000</v>
      </c>
      <c r="I34" s="82"/>
      <c r="J34" s="66">
        <f>J233</f>
        <v>0</v>
      </c>
      <c r="K34" s="66">
        <f>K233</f>
        <v>0</v>
      </c>
      <c r="L34" s="77"/>
      <c r="M34" s="28">
        <f>K34/H34</f>
        <v>0</v>
      </c>
      <c r="N34" s="42">
        <f>N234</f>
        <v>500993.98</v>
      </c>
    </row>
    <row r="35" spans="1:14" s="35" customFormat="1" ht="12.75" customHeight="1">
      <c r="A35" s="46"/>
      <c r="B35" s="46"/>
      <c r="E35" s="42" t="s">
        <v>204</v>
      </c>
      <c r="F35" s="42">
        <f>F32-F33-F34</f>
        <v>-249067</v>
      </c>
      <c r="G35" s="60"/>
      <c r="H35" s="42">
        <f>H32-H33-H34</f>
        <v>-289067</v>
      </c>
      <c r="I35" s="60"/>
      <c r="J35" s="42">
        <f>J32-J33-J34</f>
        <v>-261.34</v>
      </c>
      <c r="K35" s="42">
        <f>K32-K33-K34</f>
        <v>-143510.01</v>
      </c>
      <c r="L35" s="60"/>
      <c r="M35" s="42"/>
      <c r="N35" s="42">
        <f>N32-N34</f>
        <v>-353929.68</v>
      </c>
    </row>
    <row r="36" spans="1:14" s="36" customFormat="1" ht="12.75" customHeight="1">
      <c r="A36" s="46"/>
      <c r="B36" s="46"/>
      <c r="E36" s="9" t="s">
        <v>168</v>
      </c>
      <c r="F36" s="37">
        <f>F38-F37</f>
        <v>1314517.4</v>
      </c>
      <c r="G36" s="81"/>
      <c r="H36" s="37"/>
      <c r="I36" s="81"/>
      <c r="J36" s="37"/>
      <c r="K36" s="37">
        <f>F38+K35</f>
        <v>1211007.39</v>
      </c>
      <c r="L36" s="81"/>
      <c r="M36" s="37"/>
      <c r="N36" s="37"/>
    </row>
    <row r="37" spans="1:14" s="36" customFormat="1" ht="12.75" customHeight="1" hidden="1">
      <c r="A37" s="46"/>
      <c r="B37" s="46"/>
      <c r="E37" s="9" t="s">
        <v>169</v>
      </c>
      <c r="F37" s="37">
        <f>Expenditure!E68-Expenditure!D68</f>
        <v>40000</v>
      </c>
      <c r="G37" s="81"/>
      <c r="H37" s="37"/>
      <c r="I37" s="81"/>
      <c r="J37" s="37"/>
      <c r="K37" s="37">
        <f>Expenditure!H68</f>
        <v>29980.5</v>
      </c>
      <c r="L37" s="81"/>
      <c r="M37" s="37"/>
      <c r="N37" s="37"/>
    </row>
    <row r="38" spans="1:14" s="58" customFormat="1" ht="11.25">
      <c r="A38" s="61"/>
      <c r="B38" s="61"/>
      <c r="E38" s="59" t="s">
        <v>171</v>
      </c>
      <c r="F38" s="60">
        <v>1354517.4</v>
      </c>
      <c r="G38" s="60"/>
      <c r="H38" s="60"/>
      <c r="I38" s="60"/>
      <c r="J38" s="60"/>
      <c r="K38" s="60">
        <f>K36+K37</f>
        <v>1240987.89</v>
      </c>
      <c r="L38" s="60"/>
      <c r="M38" s="60"/>
      <c r="N38" s="60"/>
    </row>
    <row r="39" spans="1:14" s="36" customFormat="1" ht="12.75" customHeight="1">
      <c r="A39" s="47" t="s">
        <v>246</v>
      </c>
      <c r="C39" s="35"/>
      <c r="E39" s="9"/>
      <c r="F39" s="37"/>
      <c r="G39" s="81"/>
      <c r="H39" s="37"/>
      <c r="I39" s="81"/>
      <c r="J39" s="37"/>
      <c r="K39" s="37"/>
      <c r="L39" s="86"/>
      <c r="M39" s="37"/>
      <c r="N39" s="37"/>
    </row>
    <row r="40" spans="1:14" s="36" customFormat="1" ht="12.75" customHeight="1">
      <c r="A40" s="34"/>
      <c r="B40" s="34"/>
      <c r="C40" s="14" t="s">
        <v>159</v>
      </c>
      <c r="E40" s="9"/>
      <c r="F40" s="42">
        <f>F254+F268+F287</f>
        <v>1144593</v>
      </c>
      <c r="G40" s="60"/>
      <c r="H40" s="42">
        <f>H254+H268+H287</f>
        <v>1164593</v>
      </c>
      <c r="I40" s="77" t="s">
        <v>261</v>
      </c>
      <c r="J40" s="42">
        <f>J254+J268+J287</f>
        <v>13757.15</v>
      </c>
      <c r="K40" s="42">
        <f>K254+K268+K287</f>
        <v>1238364.28</v>
      </c>
      <c r="L40" s="77" t="s">
        <v>262</v>
      </c>
      <c r="M40" s="28">
        <f>K40/H40</f>
        <v>1.0633451171353425</v>
      </c>
      <c r="N40" s="42">
        <f>N254+N268+N287</f>
        <v>1164593</v>
      </c>
    </row>
    <row r="41" spans="1:14" s="36" customFormat="1" ht="12.75" customHeight="1">
      <c r="A41" s="34"/>
      <c r="B41" s="34"/>
      <c r="D41" s="14" t="s">
        <v>148</v>
      </c>
      <c r="E41" s="9"/>
      <c r="F41" s="42">
        <f>F269</f>
        <v>315000</v>
      </c>
      <c r="G41" s="60"/>
      <c r="H41" s="42">
        <f>H269</f>
        <v>315000</v>
      </c>
      <c r="I41" s="60"/>
      <c r="J41" s="42">
        <f>J269</f>
        <v>1784.52</v>
      </c>
      <c r="K41" s="42">
        <f>K269</f>
        <v>95770.88</v>
      </c>
      <c r="L41" s="60"/>
      <c r="M41" s="28">
        <f>K41/H41</f>
        <v>0.3040345396825397</v>
      </c>
      <c r="N41" s="42">
        <f>N269</f>
        <v>315000</v>
      </c>
    </row>
    <row r="42" spans="1:14" s="36" customFormat="1" ht="12.75" customHeight="1">
      <c r="A42" s="34"/>
      <c r="B42" s="34"/>
      <c r="C42" s="14" t="s">
        <v>160</v>
      </c>
      <c r="E42" s="9"/>
      <c r="F42" s="42">
        <f>F258-F257+F276+F293</f>
        <v>1398167</v>
      </c>
      <c r="G42" s="60"/>
      <c r="H42" s="42">
        <f>H258-H257+H276+H293</f>
        <v>1490417.9100000001</v>
      </c>
      <c r="I42" s="77" t="s">
        <v>263</v>
      </c>
      <c r="J42" s="42">
        <f>J258-J257+J276+J293</f>
        <v>39972.509999999995</v>
      </c>
      <c r="K42" s="42">
        <f>K258-K257+K276+K293</f>
        <v>959364.09</v>
      </c>
      <c r="L42" s="60"/>
      <c r="M42" s="28">
        <f>K42/H42</f>
        <v>0.6436879774210442</v>
      </c>
      <c r="N42" s="42"/>
    </row>
    <row r="43" spans="4:14" s="36" customFormat="1" ht="12.75" customHeight="1">
      <c r="D43" s="14" t="s">
        <v>251</v>
      </c>
      <c r="E43" s="9"/>
      <c r="F43" s="66">
        <f>F257</f>
        <v>400000</v>
      </c>
      <c r="G43" s="66"/>
      <c r="H43" s="66">
        <f>H257</f>
        <v>405460</v>
      </c>
      <c r="I43" s="66"/>
      <c r="J43" s="66">
        <f>J257</f>
        <v>0</v>
      </c>
      <c r="K43" s="66">
        <f>K257</f>
        <v>5460</v>
      </c>
      <c r="L43" s="42"/>
      <c r="M43" s="67">
        <f>K43/H43</f>
        <v>0.013466186553544124</v>
      </c>
      <c r="N43" s="42">
        <f>N258+N276+N293</f>
        <v>1895877.9100000001</v>
      </c>
    </row>
    <row r="44" spans="5:14" s="35" customFormat="1" ht="12.75" customHeight="1">
      <c r="E44" s="42" t="s">
        <v>165</v>
      </c>
      <c r="F44" s="42">
        <f>F40+F41-F42-F43</f>
        <v>-338574</v>
      </c>
      <c r="G44" s="42"/>
      <c r="H44" s="42">
        <f>H40+H41-H42-H43</f>
        <v>-416284.91000000015</v>
      </c>
      <c r="I44" s="42"/>
      <c r="J44" s="42">
        <f>J40+J41-J42-J43</f>
        <v>-24430.839999999997</v>
      </c>
      <c r="K44" s="42">
        <f>K40+K41-K42-K43</f>
        <v>369311.0700000002</v>
      </c>
      <c r="L44" s="42"/>
      <c r="M44" s="42"/>
      <c r="N44" s="42">
        <f>N40+N41-N43</f>
        <v>-416284.91000000015</v>
      </c>
    </row>
    <row r="45" spans="5:14" s="36" customFormat="1" ht="12.75" customHeight="1">
      <c r="E45" s="9" t="s">
        <v>168</v>
      </c>
      <c r="F45" s="37">
        <f>F47-F46</f>
        <v>770776</v>
      </c>
      <c r="G45" s="37"/>
      <c r="H45" s="37"/>
      <c r="I45" s="37"/>
      <c r="J45" s="37"/>
      <c r="K45" s="37">
        <f>F47+K44</f>
        <v>1237797.9800000002</v>
      </c>
      <c r="L45" s="37"/>
      <c r="M45" s="37"/>
      <c r="N45" s="37"/>
    </row>
    <row r="46" spans="1:14" s="36" customFormat="1" ht="12.75" customHeight="1" hidden="1">
      <c r="A46" s="34"/>
      <c r="B46" s="34"/>
      <c r="E46" s="9" t="s">
        <v>169</v>
      </c>
      <c r="F46" s="37">
        <f>Expenditure!E45-Expenditure!D45+Expenditure!E80-Expenditure!D80+Expenditure!E84-Expenditure!D84+Expenditure!E86-Expenditure!D86+Expenditure!E88-Expenditure!D88+Expenditure!E90-Expenditure!D90</f>
        <v>97710.91000000003</v>
      </c>
      <c r="G46" s="81"/>
      <c r="H46" s="37"/>
      <c r="I46" s="81"/>
      <c r="J46" s="37"/>
      <c r="K46" s="37">
        <f>Expenditure!H45+Expenditure!H80+Expenditure!H84+Expenditure!H86+Expenditure!H88+Expenditure!H90</f>
        <v>21697.899999999998</v>
      </c>
      <c r="L46" s="81"/>
      <c r="M46" s="37"/>
      <c r="N46" s="37"/>
    </row>
    <row r="47" spans="5:14" s="58" customFormat="1" ht="11.25">
      <c r="E47" s="59" t="s">
        <v>171</v>
      </c>
      <c r="F47" s="60">
        <f>84237.38+411577.58+133021.85+12297.87+68695.88+55946.66+39975.47+38208.25+15943.87+8582.1</f>
        <v>868486.91</v>
      </c>
      <c r="G47" s="60"/>
      <c r="H47" s="60"/>
      <c r="I47" s="60"/>
      <c r="J47" s="60"/>
      <c r="K47" s="60">
        <f>K45+K46</f>
        <v>1259495.8800000001</v>
      </c>
      <c r="L47" s="60"/>
      <c r="M47" s="60"/>
      <c r="N47" s="60"/>
    </row>
    <row r="48" spans="1:14" s="36" customFormat="1" ht="12.75" customHeight="1">
      <c r="A48" s="47" t="s">
        <v>247</v>
      </c>
      <c r="E48" s="37"/>
      <c r="F48" s="37"/>
      <c r="G48" s="81"/>
      <c r="H48" s="37"/>
      <c r="I48" s="81"/>
      <c r="J48" s="37"/>
      <c r="K48" s="37"/>
      <c r="L48" s="86"/>
      <c r="M48" s="37"/>
      <c r="N48" s="37"/>
    </row>
    <row r="49" spans="1:14" s="36" customFormat="1" ht="12.75" customHeight="1">
      <c r="A49" s="46"/>
      <c r="B49" s="46"/>
      <c r="C49" s="14" t="s">
        <v>159</v>
      </c>
      <c r="E49" s="37"/>
      <c r="F49" s="42">
        <f>F143+F165</f>
        <v>252425</v>
      </c>
      <c r="G49" s="77" t="s">
        <v>278</v>
      </c>
      <c r="H49" s="42">
        <f>H143+H165</f>
        <v>252425</v>
      </c>
      <c r="I49" s="77" t="s">
        <v>278</v>
      </c>
      <c r="J49" s="42">
        <f>J143+J165</f>
        <v>17601.09</v>
      </c>
      <c r="K49" s="42">
        <f>K143+K165</f>
        <v>243805.30000000002</v>
      </c>
      <c r="L49" s="77" t="s">
        <v>278</v>
      </c>
      <c r="M49" s="28">
        <f>K49/H49</f>
        <v>0.9658524314152719</v>
      </c>
      <c r="N49" s="42">
        <f>N143+N165</f>
        <v>252425</v>
      </c>
    </row>
    <row r="50" spans="1:14" s="36" customFormat="1" ht="12.75" customHeight="1">
      <c r="A50" s="46"/>
      <c r="B50" s="46"/>
      <c r="C50" s="14" t="s">
        <v>160</v>
      </c>
      <c r="E50" s="37"/>
      <c r="F50" s="66">
        <f>F157+F174</f>
        <v>405244.45999999996</v>
      </c>
      <c r="G50" s="77" t="s">
        <v>278</v>
      </c>
      <c r="H50" s="66">
        <f>H157+H174</f>
        <v>420684.6299999999</v>
      </c>
      <c r="I50" s="77" t="s">
        <v>278</v>
      </c>
      <c r="J50" s="66">
        <f>J157+J174</f>
        <v>21053.910000000003</v>
      </c>
      <c r="K50" s="66">
        <f>K157+K174</f>
        <v>281323.52999999997</v>
      </c>
      <c r="L50" s="60"/>
      <c r="M50" s="28">
        <f>K50/H50</f>
        <v>0.6687278544024773</v>
      </c>
      <c r="N50" s="42">
        <f>N157+N174</f>
        <v>420684.6299999999</v>
      </c>
    </row>
    <row r="51" spans="1:14" s="35" customFormat="1" ht="12.75" customHeight="1">
      <c r="A51" s="46"/>
      <c r="B51" s="46"/>
      <c r="E51" s="42" t="s">
        <v>178</v>
      </c>
      <c r="F51" s="42">
        <f>F49-F50</f>
        <v>-152819.45999999996</v>
      </c>
      <c r="G51" s="60"/>
      <c r="H51" s="42">
        <f>H49-H50</f>
        <v>-168259.6299999999</v>
      </c>
      <c r="I51" s="60"/>
      <c r="J51" s="42">
        <f>J49-J50</f>
        <v>-3452.8200000000033</v>
      </c>
      <c r="K51" s="42">
        <f>K49-K50</f>
        <v>-37518.22999999995</v>
      </c>
      <c r="L51" s="60"/>
      <c r="M51" s="42"/>
      <c r="N51" s="42">
        <f>N49-N50</f>
        <v>-168259.6299999999</v>
      </c>
    </row>
    <row r="52" spans="1:16" s="36" customFormat="1" ht="12.75" customHeight="1">
      <c r="A52" s="46"/>
      <c r="B52" s="46"/>
      <c r="E52" s="9" t="s">
        <v>168</v>
      </c>
      <c r="F52" s="37">
        <f>F54-F53</f>
        <v>204241.97</v>
      </c>
      <c r="G52" s="81"/>
      <c r="H52" s="37"/>
      <c r="I52" s="81"/>
      <c r="J52" s="37"/>
      <c r="K52" s="37">
        <f>F54+K51</f>
        <v>182163.91</v>
      </c>
      <c r="L52" s="81"/>
      <c r="M52" s="37"/>
      <c r="N52" s="37"/>
      <c r="P52" s="72"/>
    </row>
    <row r="53" spans="1:14" s="36" customFormat="1" ht="12.75" customHeight="1" hidden="1">
      <c r="A53" s="46"/>
      <c r="B53" s="46"/>
      <c r="E53" s="9" t="s">
        <v>169</v>
      </c>
      <c r="F53" s="37">
        <f>Expenditure!E30-Expenditure!D30+Expenditure!E97-Expenditure!D97</f>
        <v>15440.169999999955</v>
      </c>
      <c r="G53" s="81"/>
      <c r="H53" s="37"/>
      <c r="I53" s="81"/>
      <c r="J53" s="37"/>
      <c r="K53" s="37">
        <f>Expenditure!H30+Expenditure!H97</f>
        <v>2403.73</v>
      </c>
      <c r="L53" s="81"/>
      <c r="M53" s="37"/>
      <c r="N53" s="37"/>
    </row>
    <row r="54" spans="1:16" s="58" customFormat="1" ht="12">
      <c r="A54" s="71"/>
      <c r="B54" s="71"/>
      <c r="C54" s="68"/>
      <c r="D54" s="68"/>
      <c r="E54" s="69" t="s">
        <v>171</v>
      </c>
      <c r="F54" s="70">
        <f>31853.65+19328.49+17.52+0.46+2.3+79.05+33220.24+5309.18+4715.24+4977.5+1909.77+4232.87+13482.97+23466.84+28982.49+857.21+516.22+45753.21+976.93</f>
        <v>219682.13999999996</v>
      </c>
      <c r="G54" s="70"/>
      <c r="H54" s="70"/>
      <c r="I54" s="70"/>
      <c r="J54" s="70"/>
      <c r="K54" s="70">
        <f>K52+K53</f>
        <v>184567.64</v>
      </c>
      <c r="L54" s="70"/>
      <c r="M54" s="70"/>
      <c r="N54" s="60"/>
      <c r="P54" s="73"/>
    </row>
    <row r="55" spans="1:14" s="36" customFormat="1" ht="12.75" customHeight="1">
      <c r="A55" s="39" t="s">
        <v>256</v>
      </c>
      <c r="B55" s="46"/>
      <c r="C55" s="72"/>
      <c r="D55" s="72"/>
      <c r="E55" s="72" t="s">
        <v>257</v>
      </c>
      <c r="F55" s="72" t="s">
        <v>257</v>
      </c>
      <c r="G55" s="83"/>
      <c r="H55" s="72" t="s">
        <v>257</v>
      </c>
      <c r="I55" s="83"/>
      <c r="J55" s="72" t="s">
        <v>257</v>
      </c>
      <c r="K55" s="72" t="s">
        <v>257</v>
      </c>
      <c r="L55" s="83"/>
      <c r="M55" s="72" t="s">
        <v>257</v>
      </c>
      <c r="N55" s="37"/>
    </row>
    <row r="56" spans="3:14" s="38" customFormat="1" ht="12.75">
      <c r="C56" s="46" t="s">
        <v>199</v>
      </c>
      <c r="F56" s="38">
        <f>F9+F25+F32+F40+F41+F49</f>
        <v>4376204</v>
      </c>
      <c r="G56" s="63"/>
      <c r="H56" s="38">
        <f>H9+H25+H32+H40+H41+H49</f>
        <v>4396204</v>
      </c>
      <c r="I56" s="63"/>
      <c r="J56" s="38">
        <f>J9+J25+J32+J40+J41+J49</f>
        <v>66957.54</v>
      </c>
      <c r="K56" s="38">
        <f>K9+K25+K32+K40+K41+K49</f>
        <v>4429896.619999999</v>
      </c>
      <c r="L56" s="63"/>
      <c r="M56" s="67">
        <f>K56/H56</f>
        <v>1.0076640256002676</v>
      </c>
      <c r="N56" s="38">
        <f>N9+N49+N25+N32+N40+N41</f>
        <v>4661421.16</v>
      </c>
    </row>
    <row r="57" spans="3:14" s="14" customFormat="1" ht="12.75">
      <c r="C57" s="46" t="s">
        <v>200</v>
      </c>
      <c r="F57" s="65">
        <f>F19+F26+F33+F34+F42+F43+F50</f>
        <v>5264595.46</v>
      </c>
      <c r="G57" s="80"/>
      <c r="H57" s="65">
        <f>H19+H26+H33+H34+H42+H43+H50</f>
        <v>5513177.19</v>
      </c>
      <c r="I57" s="80"/>
      <c r="J57" s="65">
        <f>J19+J26+J33+J34+J42+J43+J50</f>
        <v>263517.88</v>
      </c>
      <c r="K57" s="65">
        <f>K19+K26+K33+K34+K42+K43+K50</f>
        <v>4247086.51</v>
      </c>
      <c r="L57" s="57"/>
      <c r="M57" s="67">
        <f>K57/H57</f>
        <v>0.7703518975779553</v>
      </c>
      <c r="N57" s="64">
        <f>N19+N50+N26+N34+N43</f>
        <v>5617408.17</v>
      </c>
    </row>
    <row r="58" spans="5:14" s="38" customFormat="1" ht="12.75">
      <c r="E58" s="42" t="s">
        <v>237</v>
      </c>
      <c r="F58" s="38">
        <f>F56-F57</f>
        <v>-888391.46</v>
      </c>
      <c r="G58" s="63"/>
      <c r="H58" s="38">
        <f>H56-H57</f>
        <v>-1116973.1900000004</v>
      </c>
      <c r="I58" s="63"/>
      <c r="J58" s="38">
        <f>J56-J57</f>
        <v>-196560.34000000003</v>
      </c>
      <c r="K58" s="38">
        <f>K56-K57</f>
        <v>182810.1099999994</v>
      </c>
      <c r="L58" s="63"/>
      <c r="M58" s="42"/>
      <c r="N58" s="38">
        <f>N56-N57</f>
        <v>-955987.0099999998</v>
      </c>
    </row>
    <row r="59" spans="5:13" s="63" customFormat="1" ht="3" customHeight="1">
      <c r="E59" s="60"/>
      <c r="M59" s="60"/>
    </row>
    <row r="60" spans="3:14" s="40" customFormat="1" ht="12.75" customHeight="1">
      <c r="C60" s="39"/>
      <c r="E60" s="41"/>
      <c r="F60" s="45" t="s">
        <v>201</v>
      </c>
      <c r="G60" s="88"/>
      <c r="I60" s="84"/>
      <c r="K60" s="43" t="s">
        <v>22</v>
      </c>
      <c r="L60" s="87"/>
      <c r="M60" s="42"/>
      <c r="N60" s="44" t="s">
        <v>173</v>
      </c>
    </row>
    <row r="61" spans="3:14" s="30" customFormat="1" ht="12.75" customHeight="1">
      <c r="C61" s="89"/>
      <c r="D61" s="90"/>
      <c r="E61" s="91" t="s">
        <v>258</v>
      </c>
      <c r="F61" s="92">
        <f>F63-F62</f>
        <v>2995381.3400000003</v>
      </c>
      <c r="G61" s="92"/>
      <c r="H61" s="92"/>
      <c r="I61" s="92"/>
      <c r="J61" s="92"/>
      <c r="K61" s="92">
        <f>F63+K58</f>
        <v>3426773.1799999992</v>
      </c>
      <c r="L61" s="92"/>
      <c r="M61" s="93"/>
      <c r="N61" s="92">
        <f>F63+N58</f>
        <v>2287976.06</v>
      </c>
    </row>
    <row r="62" spans="3:14" s="3" customFormat="1" ht="11.25">
      <c r="C62" s="16"/>
      <c r="D62" s="62"/>
      <c r="E62" s="59" t="s">
        <v>169</v>
      </c>
      <c r="F62" s="76">
        <f>Expenditure!E107-Expenditure!D107</f>
        <v>248581.72999999952</v>
      </c>
      <c r="G62" s="76"/>
      <c r="H62" s="55"/>
      <c r="I62" s="55"/>
      <c r="J62" s="55"/>
      <c r="K62" s="76">
        <f>Expenditure!H107</f>
        <v>208568.79</v>
      </c>
      <c r="L62" s="55"/>
      <c r="M62" s="59"/>
      <c r="N62" s="55"/>
    </row>
    <row r="63" spans="5:14" s="4" customFormat="1" ht="11.25" customHeight="1">
      <c r="E63" s="59" t="s">
        <v>171</v>
      </c>
      <c r="F63" s="55">
        <v>3243963.07</v>
      </c>
      <c r="G63" s="55"/>
      <c r="K63" s="57">
        <f>K61+K62</f>
        <v>3635341.9699999993</v>
      </c>
      <c r="L63" s="57"/>
      <c r="M63" s="59"/>
      <c r="N63" s="59"/>
    </row>
    <row r="64" spans="5:14" s="4" customFormat="1" ht="3" customHeight="1">
      <c r="E64" s="59"/>
      <c r="F64" s="55"/>
      <c r="G64" s="55"/>
      <c r="K64" s="57"/>
      <c r="L64" s="57"/>
      <c r="M64" s="59"/>
      <c r="N64" s="59"/>
    </row>
    <row r="65" spans="1:14" s="4" customFormat="1" ht="10.5" customHeight="1">
      <c r="A65" s="16" t="s">
        <v>267</v>
      </c>
      <c r="E65" s="59"/>
      <c r="F65" s="55"/>
      <c r="G65" s="55"/>
      <c r="H65" s="16" t="s">
        <v>272</v>
      </c>
      <c r="K65" s="57"/>
      <c r="L65" s="57"/>
      <c r="M65" s="59"/>
      <c r="N65" s="59"/>
    </row>
    <row r="66" spans="1:14" s="4" customFormat="1" ht="10.5" customHeight="1">
      <c r="A66" s="16" t="s">
        <v>268</v>
      </c>
      <c r="E66" s="59"/>
      <c r="F66" s="55"/>
      <c r="G66" s="55"/>
      <c r="H66" s="16" t="s">
        <v>273</v>
      </c>
      <c r="K66" s="57"/>
      <c r="L66" s="57"/>
      <c r="M66" s="59"/>
      <c r="N66" s="59"/>
    </row>
    <row r="67" spans="1:14" s="4" customFormat="1" ht="11.25">
      <c r="A67" s="16" t="s">
        <v>277</v>
      </c>
      <c r="E67" s="59"/>
      <c r="F67" s="55"/>
      <c r="G67" s="55"/>
      <c r="H67" s="16" t="s">
        <v>274</v>
      </c>
      <c r="K67" s="57"/>
      <c r="L67" s="57"/>
      <c r="M67" s="59"/>
      <c r="N67" s="59"/>
    </row>
    <row r="68" spans="1:14" s="4" customFormat="1" ht="11.25">
      <c r="A68" s="16" t="s">
        <v>269</v>
      </c>
      <c r="E68" s="59"/>
      <c r="F68" s="55"/>
      <c r="G68" s="55"/>
      <c r="H68" s="16" t="s">
        <v>275</v>
      </c>
      <c r="K68" s="57"/>
      <c r="L68" s="57"/>
      <c r="M68" s="59"/>
      <c r="N68" s="59"/>
    </row>
    <row r="69" spans="1:14" s="4" customFormat="1" ht="11.25">
      <c r="A69" s="16" t="s">
        <v>270</v>
      </c>
      <c r="E69" s="59"/>
      <c r="F69" s="55"/>
      <c r="G69" s="55"/>
      <c r="H69" s="16" t="s">
        <v>276</v>
      </c>
      <c r="K69" s="57"/>
      <c r="L69" s="57"/>
      <c r="M69" s="59"/>
      <c r="N69" s="59"/>
    </row>
    <row r="70" spans="1:14" s="4" customFormat="1" ht="11.25">
      <c r="A70" s="16" t="s">
        <v>271</v>
      </c>
      <c r="E70" s="59"/>
      <c r="F70" s="55"/>
      <c r="G70" s="55"/>
      <c r="H70" s="16"/>
      <c r="K70" s="57"/>
      <c r="L70" s="57"/>
      <c r="M70" s="59"/>
      <c r="N70" s="59"/>
    </row>
    <row r="71" spans="2:14" s="10" customFormat="1" ht="12.75" customHeight="1">
      <c r="B71" s="30"/>
      <c r="C71" s="33"/>
      <c r="F71" s="10" t="s">
        <v>17</v>
      </c>
      <c r="G71" s="8"/>
      <c r="H71" s="10" t="s">
        <v>19</v>
      </c>
      <c r="I71" s="8"/>
      <c r="J71" s="10" t="s">
        <v>167</v>
      </c>
      <c r="K71" s="10" t="s">
        <v>20</v>
      </c>
      <c r="L71" s="8"/>
      <c r="M71" s="10" t="s">
        <v>174</v>
      </c>
      <c r="N71" s="10" t="s">
        <v>175</v>
      </c>
    </row>
    <row r="72" spans="1:14" s="10" customFormat="1" ht="12.75" customHeight="1">
      <c r="A72" s="13" t="s">
        <v>16</v>
      </c>
      <c r="B72" s="13"/>
      <c r="C72" s="33"/>
      <c r="G72" s="8"/>
      <c r="H72" s="10" t="s">
        <v>172</v>
      </c>
      <c r="I72" s="8"/>
      <c r="J72" s="10" t="s">
        <v>21</v>
      </c>
      <c r="K72" s="10" t="s">
        <v>166</v>
      </c>
      <c r="L72" s="8"/>
      <c r="M72" s="10" t="s">
        <v>181</v>
      </c>
      <c r="N72" s="10" t="s">
        <v>166</v>
      </c>
    </row>
    <row r="73" spans="1:14" s="18" customFormat="1" ht="12.75" customHeight="1">
      <c r="A73" s="31"/>
      <c r="B73" s="31"/>
      <c r="C73" s="14" t="s">
        <v>159</v>
      </c>
      <c r="D73" s="20"/>
      <c r="E73" s="20"/>
      <c r="F73" s="22"/>
      <c r="G73" s="55"/>
      <c r="H73" s="21"/>
      <c r="I73" s="78"/>
      <c r="J73" s="21"/>
      <c r="K73" s="21"/>
      <c r="L73" s="78"/>
      <c r="N73" s="21"/>
    </row>
    <row r="74" spans="1:14" s="18" customFormat="1" ht="12.75" customHeight="1">
      <c r="A74" s="31"/>
      <c r="B74" s="31"/>
      <c r="C74" s="33"/>
      <c r="D74" s="4" t="s">
        <v>137</v>
      </c>
      <c r="E74" s="14"/>
      <c r="F74" s="23">
        <f>Revenue!D9</f>
        <v>1789284</v>
      </c>
      <c r="G74" s="55"/>
      <c r="H74" s="23">
        <f>Revenue!E9</f>
        <v>1789284</v>
      </c>
      <c r="I74" s="55"/>
      <c r="J74" s="23">
        <f>Revenue!G9</f>
        <v>0</v>
      </c>
      <c r="K74" s="23">
        <f>Revenue!K9</f>
        <v>1794152.24</v>
      </c>
      <c r="L74" s="55"/>
      <c r="M74" s="28">
        <f>K74/H74</f>
        <v>1.0027207754610223</v>
      </c>
      <c r="N74" s="22">
        <f>H74</f>
        <v>1789284</v>
      </c>
    </row>
    <row r="75" spans="1:14" s="18" customFormat="1" ht="12.75" customHeight="1">
      <c r="A75" s="31"/>
      <c r="B75" s="31"/>
      <c r="C75" s="33"/>
      <c r="D75" s="4" t="s">
        <v>138</v>
      </c>
      <c r="E75" s="14"/>
      <c r="F75" s="23">
        <f>Revenue!D10</f>
        <v>5550</v>
      </c>
      <c r="G75" s="55"/>
      <c r="H75" s="23">
        <f>Revenue!E10</f>
        <v>5550</v>
      </c>
      <c r="I75" s="55"/>
      <c r="J75" s="23">
        <f>Revenue!G10</f>
        <v>18544.87</v>
      </c>
      <c r="K75" s="23">
        <f>Revenue!K10</f>
        <v>38698.22</v>
      </c>
      <c r="L75" s="55"/>
      <c r="M75" s="28">
        <f aca="true" t="shared" si="1" ref="M75:M94">K75/H75</f>
        <v>6.972652252252252</v>
      </c>
      <c r="N75" s="22">
        <f aca="true" t="shared" si="2" ref="N75:N95">H75</f>
        <v>5550</v>
      </c>
    </row>
    <row r="76" spans="1:14" s="18" customFormat="1" ht="12.75" customHeight="1">
      <c r="A76" s="31"/>
      <c r="B76" s="31"/>
      <c r="C76" s="33"/>
      <c r="D76" s="4" t="s">
        <v>0</v>
      </c>
      <c r="E76" s="14"/>
      <c r="F76" s="23">
        <f>Revenue!D11</f>
        <v>66610</v>
      </c>
      <c r="G76" s="55"/>
      <c r="H76" s="23">
        <f>Revenue!E11</f>
        <v>66610</v>
      </c>
      <c r="I76" s="55"/>
      <c r="J76" s="23">
        <f>Revenue!G11</f>
        <v>4156.96</v>
      </c>
      <c r="K76" s="23">
        <f>Revenue!K11</f>
        <v>53242.59</v>
      </c>
      <c r="L76" s="55"/>
      <c r="M76" s="28">
        <f t="shared" si="1"/>
        <v>0.7993182705299504</v>
      </c>
      <c r="N76" s="22">
        <f t="shared" si="2"/>
        <v>66610</v>
      </c>
    </row>
    <row r="77" spans="1:14" s="18" customFormat="1" ht="12.75" customHeight="1">
      <c r="A77" s="31"/>
      <c r="B77" s="31"/>
      <c r="C77" s="33"/>
      <c r="D77" s="4" t="s">
        <v>1</v>
      </c>
      <c r="E77" s="14"/>
      <c r="F77" s="23">
        <f>Revenue!D12</f>
        <v>0</v>
      </c>
      <c r="G77" s="55"/>
      <c r="H77" s="23">
        <f>Revenue!E12</f>
        <v>0</v>
      </c>
      <c r="I77" s="55"/>
      <c r="J77" s="23">
        <f>Revenue!G12</f>
        <v>0</v>
      </c>
      <c r="K77" s="23">
        <f>Revenue!K12</f>
        <v>176397.86</v>
      </c>
      <c r="L77" s="55"/>
      <c r="M77" s="28"/>
      <c r="N77" s="22">
        <f>K77</f>
        <v>176397.86</v>
      </c>
    </row>
    <row r="78" spans="1:14" s="18" customFormat="1" ht="12.75" customHeight="1">
      <c r="A78" s="31"/>
      <c r="B78" s="31"/>
      <c r="C78" s="33"/>
      <c r="D78" s="4" t="s">
        <v>2</v>
      </c>
      <c r="E78" s="14"/>
      <c r="F78" s="23">
        <f>Revenue!D13</f>
        <v>0</v>
      </c>
      <c r="G78" s="55"/>
      <c r="H78" s="23">
        <f>Revenue!E13</f>
        <v>0</v>
      </c>
      <c r="I78" s="55"/>
      <c r="J78" s="23">
        <f>Revenue!G13</f>
        <v>0</v>
      </c>
      <c r="K78" s="23">
        <f>Revenue!K13</f>
        <v>18.56</v>
      </c>
      <c r="L78" s="55"/>
      <c r="M78" s="28"/>
      <c r="N78" s="22">
        <f t="shared" si="2"/>
        <v>0</v>
      </c>
    </row>
    <row r="79" spans="1:14" s="18" customFormat="1" ht="12.75" customHeight="1">
      <c r="A79" s="31"/>
      <c r="B79" s="31"/>
      <c r="C79" s="33"/>
      <c r="D79" s="4" t="s">
        <v>3</v>
      </c>
      <c r="E79" s="14"/>
      <c r="F79" s="23">
        <f>Revenue!D14</f>
        <v>5200</v>
      </c>
      <c r="G79" s="55"/>
      <c r="H79" s="23">
        <f>Revenue!E14</f>
        <v>5200</v>
      </c>
      <c r="I79" s="55"/>
      <c r="J79" s="23">
        <f>Revenue!G14</f>
        <v>0</v>
      </c>
      <c r="K79" s="23">
        <f>Revenue!K14</f>
        <v>3479.7</v>
      </c>
      <c r="L79" s="55"/>
      <c r="M79" s="28">
        <f t="shared" si="1"/>
        <v>0.6691730769230769</v>
      </c>
      <c r="N79" s="22">
        <f t="shared" si="2"/>
        <v>5200</v>
      </c>
    </row>
    <row r="80" spans="1:14" s="18" customFormat="1" ht="12.75" customHeight="1">
      <c r="A80" s="31"/>
      <c r="B80" s="31"/>
      <c r="C80" s="33"/>
      <c r="D80" s="4" t="s">
        <v>158</v>
      </c>
      <c r="E80" s="14"/>
      <c r="F80" s="23">
        <f>Revenue!D15</f>
        <v>8850</v>
      </c>
      <c r="G80" s="55"/>
      <c r="H80" s="23">
        <f>Revenue!E15</f>
        <v>8850</v>
      </c>
      <c r="I80" s="55"/>
      <c r="J80" s="23">
        <f>Revenue!G15</f>
        <v>0</v>
      </c>
      <c r="K80" s="23">
        <f>Revenue!K15</f>
        <v>13682.83</v>
      </c>
      <c r="L80" s="55"/>
      <c r="M80" s="28">
        <f t="shared" si="1"/>
        <v>1.5460824858757063</v>
      </c>
      <c r="N80" s="22">
        <f t="shared" si="2"/>
        <v>8850</v>
      </c>
    </row>
    <row r="81" spans="1:14" s="18" customFormat="1" ht="12.75" customHeight="1">
      <c r="A81" s="31"/>
      <c r="B81" s="31"/>
      <c r="C81" s="33"/>
      <c r="D81" s="4" t="s">
        <v>26</v>
      </c>
      <c r="E81" s="14"/>
      <c r="F81" s="23">
        <f>Revenue!D16</f>
        <v>52202</v>
      </c>
      <c r="G81" s="55"/>
      <c r="H81" s="23">
        <f>Revenue!E16</f>
        <v>52202</v>
      </c>
      <c r="I81" s="55"/>
      <c r="J81" s="23">
        <f>Revenue!G16</f>
        <v>0</v>
      </c>
      <c r="K81" s="23">
        <f>Revenue!K16</f>
        <v>27315.28</v>
      </c>
      <c r="L81" s="55"/>
      <c r="M81" s="28">
        <f t="shared" si="1"/>
        <v>0.5232611777326539</v>
      </c>
      <c r="N81" s="22">
        <f t="shared" si="2"/>
        <v>52202</v>
      </c>
    </row>
    <row r="82" spans="1:14" s="18" customFormat="1" ht="12.75" customHeight="1">
      <c r="A82" s="31"/>
      <c r="B82" s="31"/>
      <c r="C82" s="33"/>
      <c r="D82" s="4" t="s">
        <v>4</v>
      </c>
      <c r="E82" s="14"/>
      <c r="F82" s="23">
        <f>Revenue!D17</f>
        <v>11640</v>
      </c>
      <c r="G82" s="55"/>
      <c r="H82" s="23">
        <f>Revenue!E17</f>
        <v>11640</v>
      </c>
      <c r="I82" s="55"/>
      <c r="J82" s="23">
        <f>Revenue!G17</f>
        <v>0</v>
      </c>
      <c r="K82" s="23">
        <f>Revenue!K17</f>
        <v>12315.95</v>
      </c>
      <c r="L82" s="55"/>
      <c r="M82" s="28">
        <f t="shared" si="1"/>
        <v>1.0580713058419244</v>
      </c>
      <c r="N82" s="22">
        <f t="shared" si="2"/>
        <v>11640</v>
      </c>
    </row>
    <row r="83" spans="1:14" s="18" customFormat="1" ht="12.75" customHeight="1">
      <c r="A83" s="31"/>
      <c r="B83" s="31"/>
      <c r="C83" s="33"/>
      <c r="D83" s="4" t="s">
        <v>59</v>
      </c>
      <c r="E83" s="14"/>
      <c r="F83" s="23">
        <f>Revenue!D18</f>
        <v>261355</v>
      </c>
      <c r="G83" s="55"/>
      <c r="H83" s="23">
        <f>Revenue!E18</f>
        <v>261355</v>
      </c>
      <c r="I83" s="55"/>
      <c r="J83" s="23">
        <f>Revenue!G18</f>
        <v>0</v>
      </c>
      <c r="K83" s="23">
        <f>Revenue!K18</f>
        <v>260463.69</v>
      </c>
      <c r="L83" s="55"/>
      <c r="M83" s="28">
        <f t="shared" si="1"/>
        <v>0.9965896577452125</v>
      </c>
      <c r="N83" s="22">
        <f t="shared" si="2"/>
        <v>261355</v>
      </c>
    </row>
    <row r="84" spans="1:14" s="18" customFormat="1" ht="12.75" customHeight="1">
      <c r="A84" s="31"/>
      <c r="B84" s="31"/>
      <c r="C84" s="33"/>
      <c r="D84" s="4" t="s">
        <v>5</v>
      </c>
      <c r="E84" s="14"/>
      <c r="F84" s="23">
        <f>Revenue!D20</f>
        <v>5000</v>
      </c>
      <c r="G84" s="55"/>
      <c r="H84" s="23">
        <f>Revenue!E20</f>
        <v>5000</v>
      </c>
      <c r="I84" s="55"/>
      <c r="J84" s="23">
        <f>Revenue!G20</f>
        <v>290</v>
      </c>
      <c r="K84" s="23">
        <f>Revenue!K20</f>
        <v>3060</v>
      </c>
      <c r="L84" s="55"/>
      <c r="M84" s="28">
        <f t="shared" si="1"/>
        <v>0.612</v>
      </c>
      <c r="N84" s="22">
        <f t="shared" si="2"/>
        <v>5000</v>
      </c>
    </row>
    <row r="85" spans="1:14" s="18" customFormat="1" ht="12.75" customHeight="1">
      <c r="A85" s="31"/>
      <c r="B85" s="31"/>
      <c r="C85" s="33"/>
      <c r="D85" s="4" t="s">
        <v>6</v>
      </c>
      <c r="E85" s="14"/>
      <c r="F85" s="23">
        <f>Revenue!D21</f>
        <v>2200</v>
      </c>
      <c r="G85" s="55"/>
      <c r="H85" s="23">
        <f>Revenue!E21</f>
        <v>2200</v>
      </c>
      <c r="I85" s="55"/>
      <c r="J85" s="23">
        <f>Revenue!G21</f>
        <v>0</v>
      </c>
      <c r="K85" s="23">
        <f>Revenue!K21</f>
        <v>1025</v>
      </c>
      <c r="L85" s="55"/>
      <c r="M85" s="28">
        <f t="shared" si="1"/>
        <v>0.4659090909090909</v>
      </c>
      <c r="N85" s="22">
        <f t="shared" si="2"/>
        <v>2200</v>
      </c>
    </row>
    <row r="86" spans="1:14" s="18" customFormat="1" ht="12.75" customHeight="1">
      <c r="A86" s="31"/>
      <c r="B86" s="31"/>
      <c r="C86" s="33"/>
      <c r="D86" s="4" t="s">
        <v>7</v>
      </c>
      <c r="E86" s="14"/>
      <c r="F86" s="23">
        <f>Revenue!D22</f>
        <v>47000</v>
      </c>
      <c r="G86" s="55"/>
      <c r="H86" s="23">
        <f>Revenue!E22</f>
        <v>47000</v>
      </c>
      <c r="I86" s="55"/>
      <c r="J86" s="23">
        <f>Revenue!G22</f>
        <v>2065</v>
      </c>
      <c r="K86" s="23">
        <f>Revenue!K22</f>
        <v>38627</v>
      </c>
      <c r="L86" s="55"/>
      <c r="M86" s="28">
        <f t="shared" si="1"/>
        <v>0.8218510638297872</v>
      </c>
      <c r="N86" s="22">
        <v>35000</v>
      </c>
    </row>
    <row r="87" spans="1:14" s="18" customFormat="1" ht="12.75" customHeight="1">
      <c r="A87" s="31"/>
      <c r="B87" s="31"/>
      <c r="C87" s="33"/>
      <c r="D87" s="4" t="s">
        <v>25</v>
      </c>
      <c r="E87" s="14"/>
      <c r="F87" s="23">
        <f>Revenue!D23</f>
        <v>13000</v>
      </c>
      <c r="G87" s="55"/>
      <c r="H87" s="23">
        <f>Revenue!E23</f>
        <v>13000</v>
      </c>
      <c r="I87" s="55"/>
      <c r="J87" s="23">
        <f>Revenue!G23</f>
        <v>590</v>
      </c>
      <c r="K87" s="23">
        <f>Revenue!K23</f>
        <v>10742</v>
      </c>
      <c r="L87" s="55"/>
      <c r="M87" s="28">
        <f t="shared" si="1"/>
        <v>0.8263076923076923</v>
      </c>
      <c r="N87" s="22">
        <v>10000</v>
      </c>
    </row>
    <row r="88" spans="1:14" s="18" customFormat="1" ht="12.75" customHeight="1">
      <c r="A88" s="31"/>
      <c r="B88" s="31"/>
      <c r="C88" s="33"/>
      <c r="D88" s="4" t="s">
        <v>8</v>
      </c>
      <c r="E88" s="14"/>
      <c r="F88" s="23">
        <f>Revenue!D24</f>
        <v>350</v>
      </c>
      <c r="G88" s="55"/>
      <c r="H88" s="23">
        <f>Revenue!E24</f>
        <v>350</v>
      </c>
      <c r="I88" s="55"/>
      <c r="J88" s="23">
        <f>Revenue!G24</f>
        <v>0</v>
      </c>
      <c r="K88" s="23">
        <f>Revenue!K24</f>
        <v>210</v>
      </c>
      <c r="L88" s="55"/>
      <c r="M88" s="28">
        <f t="shared" si="1"/>
        <v>0.6</v>
      </c>
      <c r="N88" s="22">
        <f t="shared" si="2"/>
        <v>350</v>
      </c>
    </row>
    <row r="89" spans="1:14" s="18" customFormat="1" ht="12.75" customHeight="1">
      <c r="A89" s="31"/>
      <c r="B89" s="31"/>
      <c r="C89" s="33"/>
      <c r="D89" s="4" t="s">
        <v>9</v>
      </c>
      <c r="E89" s="14"/>
      <c r="F89" s="23">
        <f>Revenue!D25</f>
        <v>0</v>
      </c>
      <c r="G89" s="55"/>
      <c r="H89" s="23">
        <f>Revenue!E25</f>
        <v>0</v>
      </c>
      <c r="I89" s="55"/>
      <c r="J89" s="23">
        <f>Revenue!G25</f>
        <v>0</v>
      </c>
      <c r="K89" s="23">
        <f>Revenue!K25</f>
        <v>0</v>
      </c>
      <c r="L89" s="55"/>
      <c r="M89" s="28"/>
      <c r="N89" s="22">
        <f t="shared" si="2"/>
        <v>0</v>
      </c>
    </row>
    <row r="90" spans="1:14" s="18" customFormat="1" ht="12.75" customHeight="1">
      <c r="A90" s="31"/>
      <c r="B90" s="31"/>
      <c r="C90" s="33"/>
      <c r="D90" s="4" t="s">
        <v>10</v>
      </c>
      <c r="E90" s="14"/>
      <c r="F90" s="23">
        <f>Revenue!D26</f>
        <v>0</v>
      </c>
      <c r="G90" s="55"/>
      <c r="H90" s="23">
        <f>Revenue!E26</f>
        <v>0</v>
      </c>
      <c r="I90" s="55"/>
      <c r="J90" s="23">
        <f>Revenue!G26</f>
        <v>0</v>
      </c>
      <c r="K90" s="23">
        <f>Revenue!K26</f>
        <v>0</v>
      </c>
      <c r="L90" s="55"/>
      <c r="M90" s="28"/>
      <c r="N90" s="22">
        <f t="shared" si="2"/>
        <v>0</v>
      </c>
    </row>
    <row r="91" spans="1:14" s="18" customFormat="1" ht="12.75" customHeight="1">
      <c r="A91" s="31"/>
      <c r="B91" s="31"/>
      <c r="C91" s="33"/>
      <c r="D91" s="4" t="s">
        <v>11</v>
      </c>
      <c r="E91" s="14"/>
      <c r="F91" s="23">
        <f>Revenue!D27</f>
        <v>140000</v>
      </c>
      <c r="G91" s="55"/>
      <c r="H91" s="23">
        <f>Revenue!E27</f>
        <v>140000</v>
      </c>
      <c r="I91" s="55"/>
      <c r="J91" s="23">
        <f>Revenue!G27</f>
        <v>7064.6</v>
      </c>
      <c r="K91" s="23">
        <f>Revenue!K27</f>
        <v>69945.87</v>
      </c>
      <c r="L91" s="55"/>
      <c r="M91" s="28">
        <f t="shared" si="1"/>
        <v>0.4996133571428571</v>
      </c>
      <c r="N91" s="22">
        <v>50000</v>
      </c>
    </row>
    <row r="92" spans="1:14" s="18" customFormat="1" ht="12.75" customHeight="1">
      <c r="A92" s="31"/>
      <c r="B92" s="31"/>
      <c r="C92" s="33"/>
      <c r="D92" s="4" t="s">
        <v>12</v>
      </c>
      <c r="E92" s="14"/>
      <c r="F92" s="23">
        <f>Revenue!D28</f>
        <v>13000</v>
      </c>
      <c r="G92" s="55"/>
      <c r="H92" s="23">
        <f>Revenue!E28</f>
        <v>13000</v>
      </c>
      <c r="I92" s="55"/>
      <c r="J92" s="23">
        <f>Revenue!G28</f>
        <v>1103.35</v>
      </c>
      <c r="K92" s="23">
        <f>Revenue!K28</f>
        <v>15300.35</v>
      </c>
      <c r="L92" s="55"/>
      <c r="M92" s="28">
        <f t="shared" si="1"/>
        <v>1.17695</v>
      </c>
      <c r="N92" s="22">
        <f t="shared" si="2"/>
        <v>13000</v>
      </c>
    </row>
    <row r="93" spans="1:14" s="18" customFormat="1" ht="12.75" customHeight="1">
      <c r="A93" s="31"/>
      <c r="B93" s="31"/>
      <c r="C93" s="33"/>
      <c r="D93" s="4" t="s">
        <v>13</v>
      </c>
      <c r="E93" s="14"/>
      <c r="F93" s="23">
        <f>Revenue!D29</f>
        <v>30000</v>
      </c>
      <c r="G93" s="55"/>
      <c r="H93" s="23">
        <f>Revenue!E29</f>
        <v>30000</v>
      </c>
      <c r="I93" s="55"/>
      <c r="J93" s="23">
        <f>Revenue!G29</f>
        <v>0</v>
      </c>
      <c r="K93" s="23">
        <f>Revenue!K29</f>
        <v>30724.5</v>
      </c>
      <c r="L93" s="55"/>
      <c r="M93" s="28">
        <f t="shared" si="1"/>
        <v>1.02415</v>
      </c>
      <c r="N93" s="22">
        <f t="shared" si="2"/>
        <v>30000</v>
      </c>
    </row>
    <row r="94" spans="1:14" s="18" customFormat="1" ht="12.75" customHeight="1">
      <c r="A94" s="31"/>
      <c r="B94" s="31"/>
      <c r="C94" s="33"/>
      <c r="D94" s="4" t="s">
        <v>14</v>
      </c>
      <c r="E94" s="14"/>
      <c r="F94" s="23">
        <f>Revenue!D30</f>
        <v>100</v>
      </c>
      <c r="G94" s="55"/>
      <c r="H94" s="23">
        <f>Revenue!E30</f>
        <v>100</v>
      </c>
      <c r="I94" s="55"/>
      <c r="J94" s="23">
        <f>Revenue!G30</f>
        <v>0</v>
      </c>
      <c r="K94" s="23">
        <f>Revenue!K30</f>
        <v>30</v>
      </c>
      <c r="L94" s="55"/>
      <c r="M94" s="28">
        <f t="shared" si="1"/>
        <v>0.3</v>
      </c>
      <c r="N94" s="22">
        <f t="shared" si="2"/>
        <v>100</v>
      </c>
    </row>
    <row r="95" spans="1:14" s="18" customFormat="1" ht="12.75" customHeight="1">
      <c r="A95" s="31"/>
      <c r="B95" s="31"/>
      <c r="C95" s="33"/>
      <c r="D95" s="4" t="s">
        <v>15</v>
      </c>
      <c r="E95" s="14"/>
      <c r="F95" s="23">
        <f>Revenue!D31</f>
        <v>0</v>
      </c>
      <c r="G95" s="55"/>
      <c r="H95" s="23">
        <f>Revenue!E31</f>
        <v>0</v>
      </c>
      <c r="I95" s="55"/>
      <c r="J95" s="23">
        <f>Revenue!G31</f>
        <v>0</v>
      </c>
      <c r="K95" s="23">
        <f>Revenue!K31</f>
        <v>561.72</v>
      </c>
      <c r="L95" s="55"/>
      <c r="M95" s="28"/>
      <c r="N95" s="22">
        <f t="shared" si="2"/>
        <v>0</v>
      </c>
    </row>
    <row r="96" spans="1:14" s="18" customFormat="1" ht="12.75" customHeight="1">
      <c r="A96" s="31"/>
      <c r="B96" s="31"/>
      <c r="C96" s="33"/>
      <c r="E96" s="26" t="s">
        <v>127</v>
      </c>
      <c r="F96" s="23">
        <f>SUM(F74:F95)</f>
        <v>2451341</v>
      </c>
      <c r="G96" s="55"/>
      <c r="H96" s="23">
        <f>SUM(H74:H95)</f>
        <v>2451341</v>
      </c>
      <c r="I96" s="55"/>
      <c r="J96" s="23">
        <f>SUM(J74:J95)</f>
        <v>33814.78</v>
      </c>
      <c r="K96" s="23">
        <f>SUM(K74:K95)</f>
        <v>2549993.360000001</v>
      </c>
      <c r="L96" s="55"/>
      <c r="M96" s="28">
        <f>K96/H96</f>
        <v>1.0402442418251892</v>
      </c>
      <c r="N96" s="23">
        <f>SUM(N74:N95)</f>
        <v>2522738.86</v>
      </c>
    </row>
    <row r="97" spans="1:14" s="10" customFormat="1" ht="12.75" customHeight="1">
      <c r="A97" s="30"/>
      <c r="B97" s="30"/>
      <c r="C97" s="14" t="s">
        <v>160</v>
      </c>
      <c r="E97" s="9"/>
      <c r="F97" s="24"/>
      <c r="G97" s="79"/>
      <c r="H97" s="24"/>
      <c r="I97" s="79"/>
      <c r="J97" s="24"/>
      <c r="K97" s="24"/>
      <c r="L97" s="79"/>
      <c r="M97" s="9"/>
      <c r="N97" s="22"/>
    </row>
    <row r="98" spans="4:14" ht="12.75" customHeight="1">
      <c r="D98" s="4" t="s">
        <v>63</v>
      </c>
      <c r="F98" s="19">
        <f>Expenditure!D6</f>
        <v>775987</v>
      </c>
      <c r="G98" s="57"/>
      <c r="H98" s="19">
        <f>Expenditure!E6</f>
        <v>803603.22</v>
      </c>
      <c r="I98" s="57"/>
      <c r="J98" s="19">
        <f>Expenditure!G6</f>
        <v>65600.49</v>
      </c>
      <c r="K98" s="19">
        <f>Expenditure!K6</f>
        <v>797724.43</v>
      </c>
      <c r="L98" s="57"/>
      <c r="M98" s="28">
        <f>K98/H98</f>
        <v>0.9926844618666412</v>
      </c>
      <c r="N98" s="22">
        <f>H98</f>
        <v>803603.22</v>
      </c>
    </row>
    <row r="99" spans="4:14" ht="12.75" customHeight="1">
      <c r="D99" s="4" t="s">
        <v>64</v>
      </c>
      <c r="F99" s="19">
        <f>Expenditure!D7</f>
        <v>149626</v>
      </c>
      <c r="G99" s="57"/>
      <c r="H99" s="19">
        <f>Expenditure!E7</f>
        <v>154784.17</v>
      </c>
      <c r="I99" s="57"/>
      <c r="J99" s="19">
        <f>Expenditure!G7</f>
        <v>17768.88</v>
      </c>
      <c r="K99" s="19">
        <f>Expenditure!K7</f>
        <v>154780.92</v>
      </c>
      <c r="L99" s="57"/>
      <c r="M99" s="28">
        <f aca="true" t="shared" si="3" ref="M99:M117">K99/H99</f>
        <v>0.9999790030207869</v>
      </c>
      <c r="N99" s="22">
        <f aca="true" t="shared" si="4" ref="N99:N117">H99</f>
        <v>154784.17</v>
      </c>
    </row>
    <row r="100" spans="4:14" ht="12.75" customHeight="1">
      <c r="D100" s="4" t="s">
        <v>65</v>
      </c>
      <c r="F100" s="19">
        <f>Expenditure!D8</f>
        <v>61900</v>
      </c>
      <c r="G100" s="57"/>
      <c r="H100" s="19">
        <f>Expenditure!E8</f>
        <v>66546.54</v>
      </c>
      <c r="I100" s="57"/>
      <c r="J100" s="19">
        <f>Expenditure!G8</f>
        <v>7668.11</v>
      </c>
      <c r="K100" s="19">
        <f>Expenditure!K8</f>
        <v>64023.880000000005</v>
      </c>
      <c r="L100" s="57"/>
      <c r="M100" s="28">
        <f t="shared" si="3"/>
        <v>0.9620917932021712</v>
      </c>
      <c r="N100" s="22">
        <f t="shared" si="4"/>
        <v>66546.54</v>
      </c>
    </row>
    <row r="101" spans="4:14" ht="12.75" customHeight="1">
      <c r="D101" s="4" t="s">
        <v>66</v>
      </c>
      <c r="F101" s="19">
        <f>Expenditure!D9</f>
        <v>9000</v>
      </c>
      <c r="G101" s="57"/>
      <c r="H101" s="19">
        <f>Expenditure!E9</f>
        <v>10328.04</v>
      </c>
      <c r="I101" s="57"/>
      <c r="J101" s="19">
        <f>Expenditure!G9</f>
        <v>738.92</v>
      </c>
      <c r="K101" s="19">
        <f>Expenditure!K9</f>
        <v>9038.97</v>
      </c>
      <c r="L101" s="57"/>
      <c r="M101" s="28">
        <f t="shared" si="3"/>
        <v>0.875187354038133</v>
      </c>
      <c r="N101" s="22">
        <f t="shared" si="4"/>
        <v>10328.04</v>
      </c>
    </row>
    <row r="102" spans="4:14" ht="12.75" customHeight="1">
      <c r="D102" s="4" t="s">
        <v>163</v>
      </c>
      <c r="F102" s="19">
        <f>Expenditure!D10</f>
        <v>5880</v>
      </c>
      <c r="G102" s="57"/>
      <c r="H102" s="19">
        <f>Expenditure!E10</f>
        <v>5880</v>
      </c>
      <c r="I102" s="57"/>
      <c r="J102" s="19">
        <f>Expenditure!G10</f>
        <v>0</v>
      </c>
      <c r="K102" s="19">
        <f>Expenditure!K10</f>
        <v>5876.52</v>
      </c>
      <c r="L102" s="57"/>
      <c r="M102" s="28">
        <f t="shared" si="3"/>
        <v>0.9994081632653062</v>
      </c>
      <c r="N102" s="22">
        <f t="shared" si="4"/>
        <v>5880</v>
      </c>
    </row>
    <row r="103" spans="4:14" ht="12.75" customHeight="1">
      <c r="D103" s="4" t="s">
        <v>67</v>
      </c>
      <c r="F103" s="19">
        <f>Expenditure!D11</f>
        <v>23275</v>
      </c>
      <c r="G103" s="57"/>
      <c r="H103" s="19">
        <f>Expenditure!E11</f>
        <v>24608.76</v>
      </c>
      <c r="I103" s="57"/>
      <c r="J103" s="19">
        <f>Expenditure!G11</f>
        <v>3148.2</v>
      </c>
      <c r="K103" s="19">
        <f>Expenditure!K11</f>
        <v>22342.59</v>
      </c>
      <c r="L103" s="57"/>
      <c r="M103" s="28">
        <f t="shared" si="3"/>
        <v>0.9079120605833045</v>
      </c>
      <c r="N103" s="22">
        <f t="shared" si="4"/>
        <v>24608.76</v>
      </c>
    </row>
    <row r="104" spans="4:14" ht="12.75" customHeight="1">
      <c r="D104" s="4" t="s">
        <v>68</v>
      </c>
      <c r="F104" s="19">
        <f>Expenditure!D12</f>
        <v>15772</v>
      </c>
      <c r="G104" s="57"/>
      <c r="H104" s="19">
        <f>Expenditure!E12</f>
        <v>16296.74</v>
      </c>
      <c r="I104" s="57"/>
      <c r="J104" s="19">
        <f>Expenditure!G12</f>
        <v>0</v>
      </c>
      <c r="K104" s="19">
        <f>Expenditure!K12</f>
        <v>16213.24</v>
      </c>
      <c r="L104" s="57"/>
      <c r="M104" s="28">
        <f t="shared" si="3"/>
        <v>0.9948762758686707</v>
      </c>
      <c r="N104" s="22">
        <f t="shared" si="4"/>
        <v>16296.74</v>
      </c>
    </row>
    <row r="105" spans="4:14" ht="12.75" customHeight="1">
      <c r="D105" s="4" t="s">
        <v>69</v>
      </c>
      <c r="F105" s="19">
        <f>Expenditure!D13</f>
        <v>2000</v>
      </c>
      <c r="G105" s="57"/>
      <c r="H105" s="19">
        <f>Expenditure!E13</f>
        <v>9453.32</v>
      </c>
      <c r="I105" s="57"/>
      <c r="J105" s="19">
        <f>Expenditure!G13</f>
        <v>0</v>
      </c>
      <c r="K105" s="19">
        <f>Expenditure!K13</f>
        <v>9305.57</v>
      </c>
      <c r="L105" s="57"/>
      <c r="M105" s="28">
        <f t="shared" si="3"/>
        <v>0.9843705703393094</v>
      </c>
      <c r="N105" s="22">
        <f t="shared" si="4"/>
        <v>9453.32</v>
      </c>
    </row>
    <row r="106" spans="4:14" ht="12.75" customHeight="1">
      <c r="D106" s="4" t="s">
        <v>70</v>
      </c>
      <c r="F106" s="19">
        <f>Expenditure!D14</f>
        <v>13363</v>
      </c>
      <c r="G106" s="57"/>
      <c r="H106" s="19">
        <f>Expenditure!E14</f>
        <v>13363</v>
      </c>
      <c r="I106" s="57"/>
      <c r="J106" s="19">
        <f>Expenditure!G14</f>
        <v>0</v>
      </c>
      <c r="K106" s="19">
        <f>Expenditure!K14</f>
        <v>5032.88</v>
      </c>
      <c r="L106" s="57"/>
      <c r="M106" s="28">
        <f t="shared" si="3"/>
        <v>0.37662800269400587</v>
      </c>
      <c r="N106" s="22">
        <f t="shared" si="4"/>
        <v>13363</v>
      </c>
    </row>
    <row r="107" spans="4:14" ht="12.75" customHeight="1">
      <c r="D107" s="4" t="s">
        <v>71</v>
      </c>
      <c r="F107" s="19">
        <f>Expenditure!D15</f>
        <v>455588</v>
      </c>
      <c r="G107" s="57"/>
      <c r="H107" s="19">
        <f>Expenditure!E15</f>
        <v>503975.83</v>
      </c>
      <c r="I107" s="57"/>
      <c r="J107" s="19">
        <f>Expenditure!G15</f>
        <v>50773.65</v>
      </c>
      <c r="K107" s="19">
        <f>Expenditure!K15</f>
        <v>489112.11000000004</v>
      </c>
      <c r="L107" s="57"/>
      <c r="M107" s="28">
        <f t="shared" si="3"/>
        <v>0.9705070776906107</v>
      </c>
      <c r="N107" s="22">
        <f t="shared" si="4"/>
        <v>503975.83</v>
      </c>
    </row>
    <row r="108" spans="4:14" ht="12.75" customHeight="1">
      <c r="D108" s="4" t="s">
        <v>72</v>
      </c>
      <c r="F108" s="19">
        <f>Expenditure!D16</f>
        <v>276360</v>
      </c>
      <c r="G108" s="57"/>
      <c r="H108" s="19">
        <f>Expenditure!E16</f>
        <v>286365.68</v>
      </c>
      <c r="I108" s="57"/>
      <c r="J108" s="19">
        <f>Expenditure!G16</f>
        <v>20743.39</v>
      </c>
      <c r="K108" s="19">
        <f>Expenditure!K16</f>
        <v>282620.58</v>
      </c>
      <c r="L108" s="57"/>
      <c r="M108" s="28">
        <f t="shared" si="3"/>
        <v>0.9869219663473641</v>
      </c>
      <c r="N108" s="22">
        <f t="shared" si="4"/>
        <v>286365.68</v>
      </c>
    </row>
    <row r="109" spans="4:14" ht="12.75" customHeight="1">
      <c r="D109" s="4" t="s">
        <v>73</v>
      </c>
      <c r="F109" s="19">
        <f>Expenditure!D17</f>
        <v>700</v>
      </c>
      <c r="G109" s="57"/>
      <c r="H109" s="19">
        <f>Expenditure!E17</f>
        <v>700</v>
      </c>
      <c r="I109" s="57"/>
      <c r="J109" s="19">
        <f>Expenditure!G17</f>
        <v>0</v>
      </c>
      <c r="K109" s="19">
        <f>Expenditure!K17</f>
        <v>165.12</v>
      </c>
      <c r="L109" s="57"/>
      <c r="M109" s="28">
        <f t="shared" si="3"/>
        <v>0.23588571428571428</v>
      </c>
      <c r="N109" s="22">
        <f t="shared" si="4"/>
        <v>700</v>
      </c>
    </row>
    <row r="110" spans="4:14" ht="12.75" customHeight="1">
      <c r="D110" s="4" t="s">
        <v>92</v>
      </c>
      <c r="F110" s="19">
        <f>Expenditure!D18</f>
        <v>173838</v>
      </c>
      <c r="G110" s="57"/>
      <c r="H110" s="19">
        <f>Expenditure!E18</f>
        <v>176217.44</v>
      </c>
      <c r="I110" s="57"/>
      <c r="J110" s="19">
        <f>Expenditure!G18</f>
        <v>12306.14</v>
      </c>
      <c r="K110" s="19">
        <f>Expenditure!K18</f>
        <v>176038.31</v>
      </c>
      <c r="L110" s="57"/>
      <c r="M110" s="28">
        <f t="shared" si="3"/>
        <v>0.9989834717834966</v>
      </c>
      <c r="N110" s="22">
        <f t="shared" si="4"/>
        <v>176217.44</v>
      </c>
    </row>
    <row r="111" spans="4:14" ht="12.75" customHeight="1">
      <c r="D111" s="4" t="s">
        <v>93</v>
      </c>
      <c r="F111" s="19">
        <f>Expenditure!D19</f>
        <v>50689</v>
      </c>
      <c r="G111" s="57"/>
      <c r="H111" s="19">
        <f>Expenditure!E19</f>
        <v>51289.85</v>
      </c>
      <c r="I111" s="57"/>
      <c r="J111" s="19">
        <f>Expenditure!G19</f>
        <v>3895.62</v>
      </c>
      <c r="K111" s="19">
        <f>Expenditure!K19</f>
        <v>42439.72</v>
      </c>
      <c r="L111" s="57"/>
      <c r="M111" s="28">
        <f t="shared" si="3"/>
        <v>0.8274487057380749</v>
      </c>
      <c r="N111" s="22">
        <f t="shared" si="4"/>
        <v>51289.85</v>
      </c>
    </row>
    <row r="112" spans="4:14" ht="12.75" customHeight="1">
      <c r="D112" s="4" t="s">
        <v>94</v>
      </c>
      <c r="F112" s="19">
        <f>Expenditure!D20</f>
        <v>176419</v>
      </c>
      <c r="G112" s="57"/>
      <c r="H112" s="19">
        <f>Expenditure!E20</f>
        <v>179456.88</v>
      </c>
      <c r="I112" s="57"/>
      <c r="J112" s="19">
        <f>Expenditure!G20</f>
        <v>6679.86</v>
      </c>
      <c r="K112" s="19">
        <f>Expenditure!K20</f>
        <v>179216.9</v>
      </c>
      <c r="L112" s="57"/>
      <c r="M112" s="28">
        <f t="shared" si="3"/>
        <v>0.9986627428271347</v>
      </c>
      <c r="N112" s="22">
        <f t="shared" si="4"/>
        <v>179456.88</v>
      </c>
    </row>
    <row r="113" spans="4:14" ht="12.75" customHeight="1">
      <c r="D113" s="4" t="s">
        <v>95</v>
      </c>
      <c r="F113" s="19">
        <f>Expenditure!D21</f>
        <v>39229</v>
      </c>
      <c r="G113" s="57"/>
      <c r="H113" s="19">
        <f>Expenditure!E21</f>
        <v>43144.51</v>
      </c>
      <c r="I113" s="57"/>
      <c r="J113" s="19">
        <f>Expenditure!G21</f>
        <v>2654.9</v>
      </c>
      <c r="K113" s="19">
        <f>Expenditure!K21</f>
        <v>42835.84</v>
      </c>
      <c r="L113" s="57"/>
      <c r="M113" s="28">
        <f t="shared" si="3"/>
        <v>0.9928456714423224</v>
      </c>
      <c r="N113" s="22">
        <f t="shared" si="4"/>
        <v>43144.51</v>
      </c>
    </row>
    <row r="114" spans="4:14" ht="12.75" customHeight="1">
      <c r="D114" s="4" t="s">
        <v>96</v>
      </c>
      <c r="F114" s="19">
        <f>Expenditure!D22</f>
        <v>26600</v>
      </c>
      <c r="G114" s="57"/>
      <c r="H114" s="19">
        <f>Expenditure!E22</f>
        <v>26600</v>
      </c>
      <c r="I114" s="57"/>
      <c r="J114" s="19">
        <f>Expenditure!G22</f>
        <v>249.3</v>
      </c>
      <c r="K114" s="19">
        <f>Expenditure!K22</f>
        <v>25525.37</v>
      </c>
      <c r="L114" s="57"/>
      <c r="M114" s="28">
        <f t="shared" si="3"/>
        <v>0.9596003759398496</v>
      </c>
      <c r="N114" s="22">
        <f t="shared" si="4"/>
        <v>26600</v>
      </c>
    </row>
    <row r="115" spans="4:14" ht="12.75" customHeight="1">
      <c r="D115" s="4" t="s">
        <v>97</v>
      </c>
      <c r="F115" s="19">
        <f>Expenditure!D23</f>
        <v>500</v>
      </c>
      <c r="G115" s="57"/>
      <c r="H115" s="19">
        <f>Expenditure!E23</f>
        <v>3953.68</v>
      </c>
      <c r="I115" s="57"/>
      <c r="J115" s="19">
        <f>Expenditure!G23</f>
        <v>87.16</v>
      </c>
      <c r="K115" s="19">
        <f>Expenditure!K23</f>
        <v>3471.79</v>
      </c>
      <c r="L115" s="57"/>
      <c r="M115" s="28">
        <f t="shared" si="3"/>
        <v>0.8781160842556808</v>
      </c>
      <c r="N115" s="22">
        <f t="shared" si="4"/>
        <v>3953.68</v>
      </c>
    </row>
    <row r="116" spans="4:14" ht="12.75" customHeight="1">
      <c r="D116" s="4" t="s">
        <v>98</v>
      </c>
      <c r="F116" s="19">
        <f>Expenditure!D24</f>
        <v>800</v>
      </c>
      <c r="G116" s="57"/>
      <c r="H116" s="19">
        <f>Expenditure!E24</f>
        <v>800</v>
      </c>
      <c r="I116" s="57"/>
      <c r="J116" s="19">
        <f>Expenditure!G24</f>
        <v>2.73</v>
      </c>
      <c r="K116" s="19">
        <f>Expenditure!K24</f>
        <v>247.26</v>
      </c>
      <c r="L116" s="57"/>
      <c r="M116" s="28">
        <f t="shared" si="3"/>
        <v>0.309075</v>
      </c>
      <c r="N116" s="22">
        <f t="shared" si="4"/>
        <v>800</v>
      </c>
    </row>
    <row r="117" spans="4:14" ht="12.75" customHeight="1">
      <c r="D117" s="4" t="s">
        <v>99</v>
      </c>
      <c r="F117" s="19">
        <f>Expenditure!D25</f>
        <v>2500</v>
      </c>
      <c r="G117" s="57"/>
      <c r="H117" s="19">
        <f>Expenditure!E25</f>
        <v>3000</v>
      </c>
      <c r="I117" s="57"/>
      <c r="J117" s="19">
        <f>Expenditure!G25</f>
        <v>0</v>
      </c>
      <c r="K117" s="19">
        <f>Expenditure!K25</f>
        <v>2662.88</v>
      </c>
      <c r="L117" s="57"/>
      <c r="M117" s="28">
        <f t="shared" si="3"/>
        <v>0.8876266666666667</v>
      </c>
      <c r="N117" s="22">
        <f t="shared" si="4"/>
        <v>3000</v>
      </c>
    </row>
    <row r="118" spans="5:14" ht="12.75" customHeight="1">
      <c r="E118" s="12" t="s">
        <v>176</v>
      </c>
      <c r="F118" s="19">
        <f>SUM(F98:F117)</f>
        <v>2260026</v>
      </c>
      <c r="G118" s="57"/>
      <c r="H118" s="19">
        <f>SUM(H98:H117)</f>
        <v>2380367.6599999997</v>
      </c>
      <c r="I118" s="57"/>
      <c r="J118" s="19">
        <f>SUM(J98:J117)</f>
        <v>192317.35</v>
      </c>
      <c r="K118" s="19">
        <f>SUM(K98:K117)</f>
        <v>2328674.88</v>
      </c>
      <c r="L118" s="57"/>
      <c r="M118" s="28">
        <f>K118/H118</f>
        <v>0.9782836992500563</v>
      </c>
      <c r="N118" s="19">
        <f>SUM(N98:N117)</f>
        <v>2380367.6599999997</v>
      </c>
    </row>
    <row r="119" spans="3:14" ht="12.75" customHeight="1">
      <c r="C119" s="14" t="s">
        <v>134</v>
      </c>
      <c r="F119" s="19">
        <f>Expenditure!D27</f>
        <v>298946</v>
      </c>
      <c r="G119" s="57"/>
      <c r="H119" s="19">
        <f>Expenditure!E27</f>
        <v>265446</v>
      </c>
      <c r="I119" s="57"/>
      <c r="J119" s="19">
        <f>Expenditure!G27</f>
        <v>0</v>
      </c>
      <c r="K119" s="19">
        <f>Expenditure!K27</f>
        <v>253146</v>
      </c>
      <c r="L119" s="57"/>
      <c r="M119" s="28">
        <f>K119/H119</f>
        <v>0.9536628918876155</v>
      </c>
      <c r="N119" s="22">
        <f>H119+K188-H188</f>
        <v>305746</v>
      </c>
    </row>
    <row r="120" spans="5:14" ht="12.75" customHeight="1">
      <c r="E120" s="12" t="s">
        <v>177</v>
      </c>
      <c r="F120" s="19">
        <f>F118+F119</f>
        <v>2558972</v>
      </c>
      <c r="G120" s="57"/>
      <c r="H120" s="19">
        <f>H118+H119</f>
        <v>2645813.6599999997</v>
      </c>
      <c r="I120" s="57"/>
      <c r="J120" s="19">
        <f>J118+J119</f>
        <v>192317.35</v>
      </c>
      <c r="K120" s="19">
        <f>K118+K119</f>
        <v>2581820.88</v>
      </c>
      <c r="L120" s="57"/>
      <c r="M120" s="28">
        <f>K120/H120</f>
        <v>0.9758135726005739</v>
      </c>
      <c r="N120" s="19">
        <f>N118+N119</f>
        <v>2686113.6599999997</v>
      </c>
    </row>
    <row r="121" spans="1:14" s="35" customFormat="1" ht="12.75" customHeight="1">
      <c r="A121" s="54"/>
      <c r="B121" s="54"/>
      <c r="E121" s="42" t="s">
        <v>164</v>
      </c>
      <c r="F121" s="42">
        <f>F96-F120</f>
        <v>-107631</v>
      </c>
      <c r="G121" s="60"/>
      <c r="H121" s="42">
        <f>H96-H120</f>
        <v>-194472.65999999968</v>
      </c>
      <c r="I121" s="60"/>
      <c r="J121" s="42">
        <f>J96-J120</f>
        <v>-158502.57</v>
      </c>
      <c r="K121" s="42">
        <f>K96-K120</f>
        <v>-31827.519999999087</v>
      </c>
      <c r="L121" s="60"/>
      <c r="M121" s="42"/>
      <c r="N121" s="42">
        <f>N96-N120</f>
        <v>-163374.7999999998</v>
      </c>
    </row>
    <row r="122" spans="3:14" s="40" customFormat="1" ht="12.75" customHeight="1">
      <c r="C122" s="38"/>
      <c r="E122" s="41"/>
      <c r="F122" s="36"/>
      <c r="G122" s="86"/>
      <c r="I122" s="84"/>
      <c r="K122" s="36"/>
      <c r="L122" s="86"/>
      <c r="M122" s="42"/>
      <c r="N122" s="43" t="s">
        <v>175</v>
      </c>
    </row>
    <row r="123" spans="1:14" s="40" customFormat="1" ht="12.75" customHeight="1">
      <c r="A123" s="39" t="s">
        <v>207</v>
      </c>
      <c r="C123" s="38"/>
      <c r="E123" s="41"/>
      <c r="F123" s="45" t="s">
        <v>201</v>
      </c>
      <c r="G123" s="88"/>
      <c r="I123" s="84"/>
      <c r="K123" s="43" t="s">
        <v>22</v>
      </c>
      <c r="L123" s="87"/>
      <c r="M123" s="42"/>
      <c r="N123" s="44" t="s">
        <v>173</v>
      </c>
    </row>
    <row r="124" spans="1:14" s="10" customFormat="1" ht="12.75" customHeight="1">
      <c r="A124" s="30"/>
      <c r="B124" s="30"/>
      <c r="C124" s="17"/>
      <c r="D124" s="27"/>
      <c r="E124" s="9" t="s">
        <v>168</v>
      </c>
      <c r="F124" s="24">
        <f>F126-F125</f>
        <v>635644.5000000003</v>
      </c>
      <c r="G124" s="79"/>
      <c r="H124" s="24"/>
      <c r="I124" s="79"/>
      <c r="J124" s="24"/>
      <c r="K124" s="24">
        <f>K121+F126</f>
        <v>690658.640000001</v>
      </c>
      <c r="L124" s="79"/>
      <c r="M124" s="29"/>
      <c r="N124" s="24">
        <f>F126+N121</f>
        <v>559111.3600000002</v>
      </c>
    </row>
    <row r="125" spans="3:14" s="3" customFormat="1" ht="12.75" customHeight="1">
      <c r="C125" s="16"/>
      <c r="D125" s="62"/>
      <c r="E125" s="59" t="s">
        <v>169</v>
      </c>
      <c r="F125" s="55">
        <f>Expenditure!E5-Expenditure!D5</f>
        <v>86841.65999999968</v>
      </c>
      <c r="G125" s="55"/>
      <c r="H125" s="55"/>
      <c r="I125" s="55"/>
      <c r="J125" s="55"/>
      <c r="K125" s="55">
        <f>Expenditure!H5</f>
        <v>71517.87000000001</v>
      </c>
      <c r="L125" s="55"/>
      <c r="M125" s="59"/>
      <c r="N125" s="55"/>
    </row>
    <row r="126" spans="5:14" s="4" customFormat="1" ht="12.75" customHeight="1">
      <c r="E126" s="59" t="s">
        <v>171</v>
      </c>
      <c r="F126" s="55">
        <v>722486.16</v>
      </c>
      <c r="G126" s="55"/>
      <c r="K126" s="57">
        <f>K124+K125</f>
        <v>762176.5100000009</v>
      </c>
      <c r="L126" s="57"/>
      <c r="M126" s="59"/>
      <c r="N126" s="59"/>
    </row>
    <row r="128" spans="1:14" s="10" customFormat="1" ht="12.75" customHeight="1">
      <c r="A128" s="30"/>
      <c r="B128" s="30"/>
      <c r="C128" s="33"/>
      <c r="F128" s="10" t="s">
        <v>17</v>
      </c>
      <c r="G128" s="8"/>
      <c r="H128" s="10" t="s">
        <v>19</v>
      </c>
      <c r="I128" s="8"/>
      <c r="J128" s="10" t="s">
        <v>167</v>
      </c>
      <c r="K128" s="10" t="s">
        <v>20</v>
      </c>
      <c r="L128" s="8"/>
      <c r="M128" s="10" t="s">
        <v>174</v>
      </c>
      <c r="N128" s="10" t="s">
        <v>175</v>
      </c>
    </row>
    <row r="129" spans="1:14" s="10" customFormat="1" ht="12.75" customHeight="1">
      <c r="A129" s="13"/>
      <c r="B129" s="13"/>
      <c r="C129" s="33"/>
      <c r="G129" s="8"/>
      <c r="H129" s="10" t="s">
        <v>172</v>
      </c>
      <c r="I129" s="8"/>
      <c r="J129" s="10" t="s">
        <v>21</v>
      </c>
      <c r="K129" s="10" t="s">
        <v>166</v>
      </c>
      <c r="L129" s="8"/>
      <c r="M129" s="10" t="s">
        <v>181</v>
      </c>
      <c r="N129" s="10" t="s">
        <v>166</v>
      </c>
    </row>
    <row r="130" spans="1:14" s="36" customFormat="1" ht="12.75" customHeight="1">
      <c r="A130" s="47" t="s">
        <v>218</v>
      </c>
      <c r="E130" s="37"/>
      <c r="F130" s="37"/>
      <c r="G130" s="81"/>
      <c r="H130" s="37"/>
      <c r="I130" s="81"/>
      <c r="J130" s="37"/>
      <c r="K130" s="37"/>
      <c r="L130" s="81"/>
      <c r="M130" s="37"/>
      <c r="N130" s="37"/>
    </row>
    <row r="131" spans="1:14" s="36" customFormat="1" ht="12.75" customHeight="1">
      <c r="A131" s="46"/>
      <c r="B131" s="46"/>
      <c r="C131" s="14" t="s">
        <v>208</v>
      </c>
      <c r="E131" s="37"/>
      <c r="F131" s="42"/>
      <c r="G131" s="60"/>
      <c r="H131" s="42"/>
      <c r="I131" s="60"/>
      <c r="J131" s="42"/>
      <c r="K131" s="42"/>
      <c r="L131" s="60"/>
      <c r="M131" s="28"/>
      <c r="N131" s="22"/>
    </row>
    <row r="132" spans="1:14" s="36" customFormat="1" ht="12.75" customHeight="1">
      <c r="A132" s="46"/>
      <c r="B132" s="46"/>
      <c r="C132" s="14"/>
      <c r="D132" s="14" t="s">
        <v>30</v>
      </c>
      <c r="E132" s="37"/>
      <c r="F132" s="42">
        <f>Revenue!D35</f>
        <v>138234</v>
      </c>
      <c r="G132" s="60"/>
      <c r="H132" s="42">
        <f>Revenue!E35</f>
        <v>138234</v>
      </c>
      <c r="I132" s="60"/>
      <c r="J132" s="42">
        <f>Revenue!G35</f>
        <v>8330.8</v>
      </c>
      <c r="K132" s="42">
        <f>Revenue!K35</f>
        <v>147556.15000000002</v>
      </c>
      <c r="L132" s="60"/>
      <c r="M132" s="28">
        <f aca="true" t="shared" si="5" ref="M132:M143">K132/H132</f>
        <v>1.0674374611166575</v>
      </c>
      <c r="N132" s="22">
        <f aca="true" t="shared" si="6" ref="N132:N156">H132</f>
        <v>138234</v>
      </c>
    </row>
    <row r="133" spans="1:14" s="36" customFormat="1" ht="12.75" customHeight="1">
      <c r="A133" s="46"/>
      <c r="B133" s="46"/>
      <c r="C133" s="14"/>
      <c r="D133" s="14" t="s">
        <v>31</v>
      </c>
      <c r="E133" s="37"/>
      <c r="F133" s="42">
        <f>Revenue!D41</f>
        <v>7000</v>
      </c>
      <c r="G133" s="60"/>
      <c r="H133" s="42">
        <f>Revenue!E41</f>
        <v>7000</v>
      </c>
      <c r="I133" s="60"/>
      <c r="J133" s="42">
        <f>Revenue!G41</f>
        <v>683.36</v>
      </c>
      <c r="K133" s="42">
        <f>Revenue!K41</f>
        <v>8061.04</v>
      </c>
      <c r="L133" s="60"/>
      <c r="M133" s="28">
        <f t="shared" si="5"/>
        <v>1.1515771428571429</v>
      </c>
      <c r="N133" s="22">
        <f t="shared" si="6"/>
        <v>7000</v>
      </c>
    </row>
    <row r="134" spans="1:14" s="36" customFormat="1" ht="12.75" customHeight="1">
      <c r="A134" s="46"/>
      <c r="B134" s="46"/>
      <c r="C134" s="14"/>
      <c r="D134" s="4" t="s">
        <v>170</v>
      </c>
      <c r="E134" s="37"/>
      <c r="F134" s="42">
        <f>Revenue!D47</f>
        <v>2382</v>
      </c>
      <c r="G134" s="60"/>
      <c r="H134" s="42">
        <f>Revenue!E47</f>
        <v>2382</v>
      </c>
      <c r="I134" s="60"/>
      <c r="J134" s="42">
        <f>Revenue!G47</f>
        <v>2788</v>
      </c>
      <c r="K134" s="42">
        <f>Revenue!K47</f>
        <v>5170</v>
      </c>
      <c r="L134" s="60"/>
      <c r="M134" s="28">
        <f t="shared" si="5"/>
        <v>2.170445004198153</v>
      </c>
      <c r="N134" s="22">
        <f t="shared" si="6"/>
        <v>2382</v>
      </c>
    </row>
    <row r="135" spans="1:14" s="36" customFormat="1" ht="12.75" customHeight="1">
      <c r="A135" s="46"/>
      <c r="B135" s="46"/>
      <c r="C135" s="14"/>
      <c r="D135" s="17" t="s">
        <v>32</v>
      </c>
      <c r="E135" s="37"/>
      <c r="F135" s="42">
        <f>Revenue!D49</f>
        <v>100</v>
      </c>
      <c r="G135" s="60"/>
      <c r="H135" s="42">
        <f>Revenue!E49</f>
        <v>100</v>
      </c>
      <c r="I135" s="60"/>
      <c r="J135" s="42">
        <f>Revenue!G49</f>
        <v>0</v>
      </c>
      <c r="K135" s="42">
        <f>Revenue!K49</f>
        <v>0</v>
      </c>
      <c r="L135" s="60"/>
      <c r="M135" s="28">
        <f t="shared" si="5"/>
        <v>0</v>
      </c>
      <c r="N135" s="22">
        <f t="shared" si="6"/>
        <v>100</v>
      </c>
    </row>
    <row r="136" spans="1:14" s="36" customFormat="1" ht="12.75" customHeight="1">
      <c r="A136" s="46"/>
      <c r="B136" s="46"/>
      <c r="C136" s="14"/>
      <c r="D136" s="17" t="s">
        <v>43</v>
      </c>
      <c r="E136" s="37"/>
      <c r="F136" s="42">
        <f>Revenue!D51</f>
        <v>100</v>
      </c>
      <c r="G136" s="60"/>
      <c r="H136" s="42">
        <f>Revenue!E51</f>
        <v>100</v>
      </c>
      <c r="I136" s="60"/>
      <c r="J136" s="42">
        <f>Revenue!G51</f>
        <v>0</v>
      </c>
      <c r="K136" s="42">
        <f>Revenue!K51</f>
        <v>0</v>
      </c>
      <c r="L136" s="60"/>
      <c r="M136" s="28">
        <f t="shared" si="5"/>
        <v>0</v>
      </c>
      <c r="N136" s="22">
        <f t="shared" si="6"/>
        <v>100</v>
      </c>
    </row>
    <row r="137" spans="1:14" s="36" customFormat="1" ht="12.75" customHeight="1">
      <c r="A137" s="46"/>
      <c r="B137" s="46"/>
      <c r="C137" s="14"/>
      <c r="D137" s="17" t="s">
        <v>33</v>
      </c>
      <c r="E137" s="37"/>
      <c r="F137" s="42">
        <f>Revenue!D53</f>
        <v>18000</v>
      </c>
      <c r="G137" s="60"/>
      <c r="H137" s="42">
        <f>Revenue!E53</f>
        <v>18000</v>
      </c>
      <c r="I137" s="60"/>
      <c r="J137" s="42">
        <f>Revenue!G53</f>
        <v>1295.62</v>
      </c>
      <c r="K137" s="42">
        <f>Revenue!K53</f>
        <v>18148.739999999998</v>
      </c>
      <c r="L137" s="60"/>
      <c r="M137" s="28">
        <f t="shared" si="5"/>
        <v>1.0082633333333333</v>
      </c>
      <c r="N137" s="22">
        <f t="shared" si="6"/>
        <v>18000</v>
      </c>
    </row>
    <row r="138" spans="1:14" s="36" customFormat="1" ht="12.75" customHeight="1">
      <c r="A138" s="46"/>
      <c r="B138" s="46"/>
      <c r="C138" s="14"/>
      <c r="D138" s="14" t="s">
        <v>34</v>
      </c>
      <c r="E138" s="37"/>
      <c r="F138" s="42">
        <f>Revenue!D57</f>
        <v>2000</v>
      </c>
      <c r="G138" s="60"/>
      <c r="H138" s="42">
        <f>Revenue!E57</f>
        <v>2000</v>
      </c>
      <c r="I138" s="60"/>
      <c r="J138" s="42">
        <f>Revenue!G57</f>
        <v>300</v>
      </c>
      <c r="K138" s="42">
        <f>Revenue!K57</f>
        <v>1300</v>
      </c>
      <c r="L138" s="60"/>
      <c r="M138" s="28">
        <f t="shared" si="5"/>
        <v>0.65</v>
      </c>
      <c r="N138" s="22">
        <f t="shared" si="6"/>
        <v>2000</v>
      </c>
    </row>
    <row r="139" spans="1:14" s="36" customFormat="1" ht="12.75" customHeight="1">
      <c r="A139" s="46"/>
      <c r="B139" s="46"/>
      <c r="C139" s="14"/>
      <c r="D139" s="14" t="s">
        <v>35</v>
      </c>
      <c r="E139" s="37"/>
      <c r="F139" s="42">
        <f>Revenue!D60</f>
        <v>2000</v>
      </c>
      <c r="G139" s="60"/>
      <c r="H139" s="42">
        <f>Revenue!E60</f>
        <v>2000</v>
      </c>
      <c r="I139" s="60"/>
      <c r="J139" s="42">
        <f>Revenue!G60</f>
        <v>1400</v>
      </c>
      <c r="K139" s="42">
        <f>Revenue!K60</f>
        <v>2180</v>
      </c>
      <c r="L139" s="60"/>
      <c r="M139" s="28">
        <f t="shared" si="5"/>
        <v>1.09</v>
      </c>
      <c r="N139" s="22">
        <f t="shared" si="6"/>
        <v>2000</v>
      </c>
    </row>
    <row r="140" spans="1:14" s="36" customFormat="1" ht="12.75" customHeight="1">
      <c r="A140" s="46"/>
      <c r="B140" s="46"/>
      <c r="C140" s="14"/>
      <c r="D140" s="14" t="s">
        <v>36</v>
      </c>
      <c r="E140" s="37"/>
      <c r="F140" s="42">
        <f>Revenue!D64</f>
        <v>6000</v>
      </c>
      <c r="G140" s="60"/>
      <c r="H140" s="42">
        <f>Revenue!E64</f>
        <v>6000</v>
      </c>
      <c r="I140" s="60"/>
      <c r="J140" s="42">
        <f>Revenue!G64</f>
        <v>0</v>
      </c>
      <c r="K140" s="42">
        <f>Revenue!K64</f>
        <v>2750.41</v>
      </c>
      <c r="L140" s="60"/>
      <c r="M140" s="28">
        <f t="shared" si="5"/>
        <v>0.45840166666666665</v>
      </c>
      <c r="N140" s="22">
        <f t="shared" si="6"/>
        <v>6000</v>
      </c>
    </row>
    <row r="141" spans="1:14" s="36" customFormat="1" ht="12.75" customHeight="1">
      <c r="A141" s="46"/>
      <c r="B141" s="46"/>
      <c r="C141" s="14"/>
      <c r="D141" s="14" t="s">
        <v>37</v>
      </c>
      <c r="E141" s="37"/>
      <c r="F141" s="42">
        <f>Revenue!D67</f>
        <v>3100</v>
      </c>
      <c r="G141" s="60"/>
      <c r="H141" s="42">
        <f>Revenue!E67</f>
        <v>3100</v>
      </c>
      <c r="I141" s="60"/>
      <c r="J141" s="42">
        <f>Revenue!G67</f>
        <v>173</v>
      </c>
      <c r="K141" s="42">
        <f>Revenue!K67</f>
        <v>3433</v>
      </c>
      <c r="L141" s="60"/>
      <c r="M141" s="28">
        <f t="shared" si="5"/>
        <v>1.1074193548387097</v>
      </c>
      <c r="N141" s="22">
        <f t="shared" si="6"/>
        <v>3100</v>
      </c>
    </row>
    <row r="142" spans="1:14" s="36" customFormat="1" ht="12.75" customHeight="1">
      <c r="A142" s="46"/>
      <c r="B142" s="46"/>
      <c r="C142" s="14"/>
      <c r="D142" s="14" t="s">
        <v>38</v>
      </c>
      <c r="E142" s="37"/>
      <c r="F142" s="42">
        <f>Revenue!D69</f>
        <v>14500</v>
      </c>
      <c r="G142" s="60"/>
      <c r="H142" s="42">
        <f>Revenue!E69</f>
        <v>14500</v>
      </c>
      <c r="I142" s="60"/>
      <c r="J142" s="42">
        <f>Revenue!G69</f>
        <v>1208.33</v>
      </c>
      <c r="K142" s="42">
        <f>Revenue!K69</f>
        <v>14499.96</v>
      </c>
      <c r="L142" s="60"/>
      <c r="M142" s="28">
        <f t="shared" si="5"/>
        <v>0.9999972413793102</v>
      </c>
      <c r="N142" s="22">
        <f t="shared" si="6"/>
        <v>14500</v>
      </c>
    </row>
    <row r="143" spans="1:14" s="36" customFormat="1" ht="12.75" customHeight="1">
      <c r="A143" s="46"/>
      <c r="B143" s="46"/>
      <c r="C143" s="14"/>
      <c r="E143" s="42" t="s">
        <v>127</v>
      </c>
      <c r="F143" s="42">
        <f>SUM(F132:F142)</f>
        <v>193416</v>
      </c>
      <c r="G143" s="60"/>
      <c r="H143" s="42">
        <f>SUM(H132:H142)</f>
        <v>193416</v>
      </c>
      <c r="I143" s="60"/>
      <c r="J143" s="42">
        <f>SUM(J132:J142)</f>
        <v>16179.109999999999</v>
      </c>
      <c r="K143" s="42">
        <f>SUM(K132:K142)</f>
        <v>203099.30000000002</v>
      </c>
      <c r="L143" s="60"/>
      <c r="M143" s="28">
        <f t="shared" si="5"/>
        <v>1.0500646275385699</v>
      </c>
      <c r="N143" s="42">
        <f>SUM(N132:N142)</f>
        <v>193416</v>
      </c>
    </row>
    <row r="144" spans="1:14" s="36" customFormat="1" ht="12.75" customHeight="1">
      <c r="A144" s="46"/>
      <c r="B144" s="46"/>
      <c r="C144" s="14" t="s">
        <v>232</v>
      </c>
      <c r="E144" s="37"/>
      <c r="F144" s="42"/>
      <c r="G144" s="60"/>
      <c r="H144" s="42"/>
      <c r="I144" s="60"/>
      <c r="J144" s="42"/>
      <c r="K144" s="42"/>
      <c r="L144" s="60"/>
      <c r="M144" s="28"/>
      <c r="N144" s="22"/>
    </row>
    <row r="145" spans="1:14" s="36" customFormat="1" ht="12.75" customHeight="1">
      <c r="A145" s="46"/>
      <c r="B145" s="46"/>
      <c r="C145" s="14"/>
      <c r="D145" s="4" t="s">
        <v>30</v>
      </c>
      <c r="E145" s="37"/>
      <c r="F145" s="42">
        <f>Expenditure!D31</f>
        <v>169986</v>
      </c>
      <c r="G145" s="60"/>
      <c r="H145" s="42">
        <f>Expenditure!E31</f>
        <v>170071.85</v>
      </c>
      <c r="I145" s="60"/>
      <c r="J145" s="42">
        <f>Expenditure!G31</f>
        <v>14031.6</v>
      </c>
      <c r="K145" s="42">
        <f>Expenditure!K31</f>
        <v>152320.11</v>
      </c>
      <c r="L145" s="60"/>
      <c r="M145" s="28">
        <f aca="true" t="shared" si="7" ref="M145:M157">K145/H145</f>
        <v>0.8956221150060988</v>
      </c>
      <c r="N145" s="22">
        <f t="shared" si="6"/>
        <v>170071.85</v>
      </c>
    </row>
    <row r="146" spans="1:14" s="36" customFormat="1" ht="12.75" customHeight="1">
      <c r="A146" s="46"/>
      <c r="B146" s="46"/>
      <c r="C146" s="14"/>
      <c r="D146" s="4" t="s">
        <v>31</v>
      </c>
      <c r="E146" s="37"/>
      <c r="F146" s="42">
        <f>Expenditure!D32</f>
        <v>26000</v>
      </c>
      <c r="G146" s="60"/>
      <c r="H146" s="42">
        <f>Expenditure!E32</f>
        <v>26000</v>
      </c>
      <c r="I146" s="60"/>
      <c r="J146" s="42">
        <f>Expenditure!G32</f>
        <v>0</v>
      </c>
      <c r="K146" s="42">
        <f>Expenditure!K32</f>
        <v>0</v>
      </c>
      <c r="L146" s="60"/>
      <c r="M146" s="28">
        <f t="shared" si="7"/>
        <v>0</v>
      </c>
      <c r="N146" s="22">
        <f t="shared" si="6"/>
        <v>26000</v>
      </c>
    </row>
    <row r="147" spans="1:14" s="36" customFormat="1" ht="12.75" customHeight="1">
      <c r="A147" s="46"/>
      <c r="B147" s="46"/>
      <c r="C147" s="14"/>
      <c r="D147" s="4" t="s">
        <v>105</v>
      </c>
      <c r="E147" s="37"/>
      <c r="F147" s="42">
        <f>Expenditure!D33</f>
        <v>2399</v>
      </c>
      <c r="G147" s="60"/>
      <c r="H147" s="42">
        <f>Expenditure!E33</f>
        <v>2399</v>
      </c>
      <c r="I147" s="60"/>
      <c r="J147" s="42">
        <f>Expenditure!G33</f>
        <v>0</v>
      </c>
      <c r="K147" s="42">
        <f>Expenditure!K33</f>
        <v>2398.27</v>
      </c>
      <c r="L147" s="60"/>
      <c r="M147" s="28">
        <f t="shared" si="7"/>
        <v>0.9996957065443934</v>
      </c>
      <c r="N147" s="22">
        <f t="shared" si="6"/>
        <v>2399</v>
      </c>
    </row>
    <row r="148" spans="1:14" s="36" customFormat="1" ht="12.75" customHeight="1">
      <c r="A148" s="46"/>
      <c r="B148" s="46"/>
      <c r="C148" s="14"/>
      <c r="D148" s="4" t="s">
        <v>104</v>
      </c>
      <c r="E148" s="37"/>
      <c r="F148" s="42">
        <f>Expenditure!D34</f>
        <v>0.46</v>
      </c>
      <c r="G148" s="60"/>
      <c r="H148" s="42">
        <f>Expenditure!E34</f>
        <v>0.46</v>
      </c>
      <c r="I148" s="60"/>
      <c r="J148" s="42">
        <f>Expenditure!G34</f>
        <v>0</v>
      </c>
      <c r="K148" s="42">
        <f>Expenditure!K34</f>
        <v>0</v>
      </c>
      <c r="L148" s="60"/>
      <c r="M148" s="28">
        <f t="shared" si="7"/>
        <v>0</v>
      </c>
      <c r="N148" s="22">
        <f t="shared" si="6"/>
        <v>0.46</v>
      </c>
    </row>
    <row r="149" spans="1:14" s="36" customFormat="1" ht="12.75" customHeight="1">
      <c r="A149" s="46"/>
      <c r="B149" s="46"/>
      <c r="C149" s="14"/>
      <c r="D149" s="4" t="s">
        <v>32</v>
      </c>
      <c r="E149" s="37"/>
      <c r="F149" s="42">
        <f>Expenditure!D35</f>
        <v>100</v>
      </c>
      <c r="G149" s="60"/>
      <c r="H149" s="42">
        <f>Expenditure!E35</f>
        <v>100</v>
      </c>
      <c r="I149" s="60"/>
      <c r="J149" s="42">
        <f>Expenditure!G35</f>
        <v>0</v>
      </c>
      <c r="K149" s="42">
        <f>Expenditure!K35</f>
        <v>0</v>
      </c>
      <c r="L149" s="60"/>
      <c r="M149" s="28">
        <f t="shared" si="7"/>
        <v>0</v>
      </c>
      <c r="N149" s="22">
        <f t="shared" si="6"/>
        <v>100</v>
      </c>
    </row>
    <row r="150" spans="1:14" s="36" customFormat="1" ht="12.75" customHeight="1">
      <c r="A150" s="46"/>
      <c r="B150" s="46"/>
      <c r="C150" s="14"/>
      <c r="D150" s="4" t="s">
        <v>43</v>
      </c>
      <c r="E150" s="37"/>
      <c r="F150" s="42">
        <f>Expenditure!D36</f>
        <v>175</v>
      </c>
      <c r="G150" s="60"/>
      <c r="H150" s="42">
        <f>Expenditure!E36</f>
        <v>175</v>
      </c>
      <c r="I150" s="60"/>
      <c r="J150" s="42">
        <f>Expenditure!G36</f>
        <v>0</v>
      </c>
      <c r="K150" s="42">
        <f>Expenditure!K36</f>
        <v>0</v>
      </c>
      <c r="L150" s="60"/>
      <c r="M150" s="28">
        <f t="shared" si="7"/>
        <v>0</v>
      </c>
      <c r="N150" s="22">
        <f t="shared" si="6"/>
        <v>175</v>
      </c>
    </row>
    <row r="151" spans="1:14" s="36" customFormat="1" ht="12.75" customHeight="1">
      <c r="A151" s="46"/>
      <c r="B151" s="46"/>
      <c r="C151" s="14"/>
      <c r="D151" s="4" t="s">
        <v>106</v>
      </c>
      <c r="E151" s="37"/>
      <c r="F151" s="42">
        <f>Expenditure!D37</f>
        <v>51100</v>
      </c>
      <c r="G151" s="60"/>
      <c r="H151" s="42">
        <f>Expenditure!E37</f>
        <v>51100</v>
      </c>
      <c r="I151" s="60"/>
      <c r="J151" s="42">
        <f>Expenditure!G37</f>
        <v>0</v>
      </c>
      <c r="K151" s="42">
        <f>Expenditure!K37</f>
        <v>35000</v>
      </c>
      <c r="L151" s="60"/>
      <c r="M151" s="28">
        <f t="shared" si="7"/>
        <v>0.684931506849315</v>
      </c>
      <c r="N151" s="22">
        <f t="shared" si="6"/>
        <v>51100</v>
      </c>
    </row>
    <row r="152" spans="1:14" s="36" customFormat="1" ht="12.75" customHeight="1">
      <c r="A152" s="46"/>
      <c r="B152" s="46"/>
      <c r="C152" s="14"/>
      <c r="D152" s="4" t="s">
        <v>107</v>
      </c>
      <c r="E152" s="37"/>
      <c r="F152" s="42">
        <f>Expenditure!D38</f>
        <v>2845</v>
      </c>
      <c r="G152" s="60"/>
      <c r="H152" s="42">
        <f>Expenditure!E38</f>
        <v>7309.15</v>
      </c>
      <c r="I152" s="60"/>
      <c r="J152" s="42">
        <f>Expenditure!G38</f>
        <v>0</v>
      </c>
      <c r="K152" s="42">
        <f>Expenditure!K38</f>
        <v>6179.99</v>
      </c>
      <c r="L152" s="60"/>
      <c r="M152" s="28">
        <f t="shared" si="7"/>
        <v>0.8455141842758734</v>
      </c>
      <c r="N152" s="22">
        <f t="shared" si="6"/>
        <v>7309.15</v>
      </c>
    </row>
    <row r="153" spans="1:14" s="36" customFormat="1" ht="12.75" customHeight="1">
      <c r="A153" s="46"/>
      <c r="B153" s="46"/>
      <c r="C153" s="14"/>
      <c r="D153" s="4" t="s">
        <v>108</v>
      </c>
      <c r="E153" s="37"/>
      <c r="F153" s="42">
        <f>Expenditure!D39</f>
        <v>4915</v>
      </c>
      <c r="G153" s="60"/>
      <c r="H153" s="42">
        <f>Expenditure!E39</f>
        <v>6715</v>
      </c>
      <c r="I153" s="60"/>
      <c r="J153" s="42">
        <f>Expenditure!G39</f>
        <v>1137.96</v>
      </c>
      <c r="K153" s="42">
        <f>Expenditure!K39</f>
        <v>4817.91</v>
      </c>
      <c r="L153" s="60"/>
      <c r="M153" s="28">
        <f t="shared" si="7"/>
        <v>0.7174847356664185</v>
      </c>
      <c r="N153" s="22">
        <f t="shared" si="6"/>
        <v>6715</v>
      </c>
    </row>
    <row r="154" spans="1:14" s="36" customFormat="1" ht="12.75" customHeight="1">
      <c r="A154" s="46"/>
      <c r="B154" s="46"/>
      <c r="C154" s="14"/>
      <c r="D154" s="4" t="s">
        <v>109</v>
      </c>
      <c r="E154" s="37"/>
      <c r="F154" s="42">
        <f>Expenditure!D40</f>
        <v>6715</v>
      </c>
      <c r="G154" s="60"/>
      <c r="H154" s="42">
        <f>Expenditure!E40</f>
        <v>6715</v>
      </c>
      <c r="I154" s="60"/>
      <c r="J154" s="42">
        <f>Expenditure!G40</f>
        <v>0</v>
      </c>
      <c r="K154" s="42">
        <f>Expenditure!K40</f>
        <v>2136.98</v>
      </c>
      <c r="L154" s="60"/>
      <c r="M154" s="28">
        <f t="shared" si="7"/>
        <v>0.3182397617274758</v>
      </c>
      <c r="N154" s="22">
        <f t="shared" si="6"/>
        <v>6715</v>
      </c>
    </row>
    <row r="155" spans="1:14" s="36" customFormat="1" ht="12.75" customHeight="1">
      <c r="A155" s="46"/>
      <c r="B155" s="46"/>
      <c r="C155" s="14"/>
      <c r="D155" s="4" t="s">
        <v>37</v>
      </c>
      <c r="E155" s="37"/>
      <c r="F155" s="42">
        <f>Expenditure!D41</f>
        <v>4900</v>
      </c>
      <c r="G155" s="60"/>
      <c r="H155" s="42">
        <f>Expenditure!E41</f>
        <v>5007.97</v>
      </c>
      <c r="I155" s="60"/>
      <c r="J155" s="42">
        <f>Expenditure!G41</f>
        <v>0</v>
      </c>
      <c r="K155" s="42">
        <f>Expenditure!K41</f>
        <v>3581.97</v>
      </c>
      <c r="L155" s="60"/>
      <c r="M155" s="28">
        <f t="shared" si="7"/>
        <v>0.7152538853068209</v>
      </c>
      <c r="N155" s="22">
        <f t="shared" si="6"/>
        <v>5007.97</v>
      </c>
    </row>
    <row r="156" spans="1:14" s="36" customFormat="1" ht="12.75" customHeight="1">
      <c r="A156" s="46"/>
      <c r="B156" s="46"/>
      <c r="C156" s="14"/>
      <c r="D156" s="4" t="s">
        <v>38</v>
      </c>
      <c r="E156" s="37"/>
      <c r="F156" s="42">
        <f>Expenditure!D42</f>
        <v>18210</v>
      </c>
      <c r="G156" s="60"/>
      <c r="H156" s="42">
        <f>Expenditure!E42</f>
        <v>18721.67</v>
      </c>
      <c r="I156" s="60"/>
      <c r="J156" s="42">
        <f>Expenditure!G42</f>
        <v>4662.17</v>
      </c>
      <c r="K156" s="42">
        <f>Expenditure!K42</f>
        <v>15555.37</v>
      </c>
      <c r="L156" s="60"/>
      <c r="M156" s="28">
        <f t="shared" si="7"/>
        <v>0.8308751302634863</v>
      </c>
      <c r="N156" s="22">
        <f t="shared" si="6"/>
        <v>18721.67</v>
      </c>
    </row>
    <row r="157" spans="1:14" s="36" customFormat="1" ht="12.75" customHeight="1">
      <c r="A157" s="46"/>
      <c r="B157" s="46"/>
      <c r="C157" s="14"/>
      <c r="E157" s="42" t="s">
        <v>127</v>
      </c>
      <c r="F157" s="42">
        <f>SUM(F145:F156)</f>
        <v>287345.45999999996</v>
      </c>
      <c r="G157" s="60"/>
      <c r="H157" s="42">
        <f>SUM(H145:H156)</f>
        <v>294315.0999999999</v>
      </c>
      <c r="I157" s="60"/>
      <c r="J157" s="42">
        <f>SUM(J145:J156)</f>
        <v>19831.730000000003</v>
      </c>
      <c r="K157" s="42">
        <f>SUM(K145:K156)</f>
        <v>221990.59999999998</v>
      </c>
      <c r="L157" s="60"/>
      <c r="M157" s="28">
        <f t="shared" si="7"/>
        <v>0.7542616739677986</v>
      </c>
      <c r="N157" s="42">
        <f>SUM(N145:N156)</f>
        <v>294315.0999999999</v>
      </c>
    </row>
    <row r="158" spans="1:14" s="35" customFormat="1" ht="12.75" customHeight="1">
      <c r="A158" s="46"/>
      <c r="B158" s="46"/>
      <c r="E158" s="42" t="s">
        <v>178</v>
      </c>
      <c r="F158" s="42">
        <f>F143-F157</f>
        <v>-93929.45999999996</v>
      </c>
      <c r="G158" s="60"/>
      <c r="H158" s="42">
        <f>H143-H157</f>
        <v>-100899.09999999992</v>
      </c>
      <c r="I158" s="60"/>
      <c r="J158" s="42">
        <f>J143-J157</f>
        <v>-3652.6200000000044</v>
      </c>
      <c r="K158" s="42">
        <f>K143-K157</f>
        <v>-18891.29999999996</v>
      </c>
      <c r="L158" s="60"/>
      <c r="M158" s="42"/>
      <c r="N158" s="42">
        <f>N143-N157</f>
        <v>-100899.09999999992</v>
      </c>
    </row>
    <row r="159" spans="1:14" s="36" customFormat="1" ht="12.75" customHeight="1">
      <c r="A159" s="46"/>
      <c r="B159" s="46"/>
      <c r="C159" s="14" t="s">
        <v>210</v>
      </c>
      <c r="E159" s="37"/>
      <c r="F159" s="42"/>
      <c r="G159" s="60"/>
      <c r="H159" s="42"/>
      <c r="I159" s="60"/>
      <c r="J159" s="42"/>
      <c r="K159" s="42"/>
      <c r="L159" s="60"/>
      <c r="M159" s="28"/>
      <c r="N159" s="22"/>
    </row>
    <row r="160" spans="1:14" s="36" customFormat="1" ht="12.75" customHeight="1">
      <c r="A160" s="46"/>
      <c r="B160" s="46"/>
      <c r="C160" s="14"/>
      <c r="D160" s="14" t="s">
        <v>39</v>
      </c>
      <c r="E160" s="37"/>
      <c r="F160" s="42">
        <f>Revenue!D130</f>
        <v>32909</v>
      </c>
      <c r="G160" s="60"/>
      <c r="H160" s="42">
        <f>Revenue!E130</f>
        <v>32909</v>
      </c>
      <c r="I160" s="60"/>
      <c r="J160" s="42">
        <f>Revenue!G130</f>
        <v>275.68</v>
      </c>
      <c r="K160" s="42">
        <f>Revenue!K130</f>
        <v>34113.700000000004</v>
      </c>
      <c r="L160" s="60"/>
      <c r="M160" s="28">
        <f aca="true" t="shared" si="8" ref="M160:M165">K160/H160</f>
        <v>1.0366070072016775</v>
      </c>
      <c r="N160" s="22">
        <f>H160</f>
        <v>32909</v>
      </c>
    </row>
    <row r="161" spans="1:14" s="36" customFormat="1" ht="12.75" customHeight="1">
      <c r="A161" s="46"/>
      <c r="B161" s="46"/>
      <c r="C161" s="14"/>
      <c r="D161" s="14" t="s">
        <v>40</v>
      </c>
      <c r="E161" s="37"/>
      <c r="F161" s="42">
        <f>Revenue!D136</f>
        <v>1000</v>
      </c>
      <c r="G161" s="60"/>
      <c r="H161" s="42">
        <f>Revenue!E136</f>
        <v>1000</v>
      </c>
      <c r="I161" s="60"/>
      <c r="J161" s="42">
        <f>Revenue!G136</f>
        <v>0</v>
      </c>
      <c r="K161" s="42">
        <f>Revenue!K136</f>
        <v>0</v>
      </c>
      <c r="L161" s="60"/>
      <c r="M161" s="28">
        <f t="shared" si="8"/>
        <v>0</v>
      </c>
      <c r="N161" s="22">
        <f>H161</f>
        <v>1000</v>
      </c>
    </row>
    <row r="162" spans="1:14" s="36" customFormat="1" ht="12.75" customHeight="1">
      <c r="A162" s="46"/>
      <c r="B162" s="46"/>
      <c r="C162" s="14"/>
      <c r="D162" s="14" t="s">
        <v>41</v>
      </c>
      <c r="E162" s="37"/>
      <c r="F162" s="42">
        <f>Revenue!D138</f>
        <v>10000</v>
      </c>
      <c r="G162" s="60"/>
      <c r="H162" s="42">
        <f>Revenue!E138</f>
        <v>10000</v>
      </c>
      <c r="I162" s="60"/>
      <c r="J162" s="42">
        <f>Revenue!G138</f>
        <v>1146.3</v>
      </c>
      <c r="K162" s="42">
        <f>Revenue!K138</f>
        <v>2713.3</v>
      </c>
      <c r="L162" s="60"/>
      <c r="M162" s="28">
        <f t="shared" si="8"/>
        <v>0.27133</v>
      </c>
      <c r="N162" s="22">
        <f>H162</f>
        <v>10000</v>
      </c>
    </row>
    <row r="163" spans="1:14" s="36" customFormat="1" ht="12.75" customHeight="1">
      <c r="A163" s="46"/>
      <c r="B163" s="46"/>
      <c r="C163" s="14"/>
      <c r="D163" s="14" t="s">
        <v>42</v>
      </c>
      <c r="E163" s="37"/>
      <c r="F163" s="42">
        <f>Revenue!D141</f>
        <v>15000</v>
      </c>
      <c r="G163" s="60"/>
      <c r="H163" s="42">
        <f>Revenue!E141</f>
        <v>15000</v>
      </c>
      <c r="I163" s="60"/>
      <c r="J163" s="42">
        <f>Revenue!G141</f>
        <v>0</v>
      </c>
      <c r="K163" s="42">
        <f>Revenue!K141</f>
        <v>3879</v>
      </c>
      <c r="L163" s="60"/>
      <c r="M163" s="28">
        <f t="shared" si="8"/>
        <v>0.2586</v>
      </c>
      <c r="N163" s="22">
        <f>H163</f>
        <v>15000</v>
      </c>
    </row>
    <row r="164" spans="1:14" s="36" customFormat="1" ht="12.75" customHeight="1">
      <c r="A164" s="46"/>
      <c r="B164" s="46"/>
      <c r="C164" s="14"/>
      <c r="D164" s="14" t="s">
        <v>55</v>
      </c>
      <c r="E164" s="37"/>
      <c r="F164" s="42">
        <f>Revenue!D150</f>
        <v>100</v>
      </c>
      <c r="G164" s="60"/>
      <c r="H164" s="42">
        <f>Revenue!E150</f>
        <v>100</v>
      </c>
      <c r="I164" s="60"/>
      <c r="J164" s="42">
        <f>Revenue!G150</f>
        <v>0</v>
      </c>
      <c r="K164" s="42">
        <f>Revenue!K150</f>
        <v>0</v>
      </c>
      <c r="L164" s="60"/>
      <c r="M164" s="28">
        <f t="shared" si="8"/>
        <v>0</v>
      </c>
      <c r="N164" s="22">
        <f>H164</f>
        <v>100</v>
      </c>
    </row>
    <row r="165" spans="1:14" s="36" customFormat="1" ht="12.75" customHeight="1">
      <c r="A165" s="46"/>
      <c r="B165" s="46"/>
      <c r="C165" s="14"/>
      <c r="E165" s="42" t="s">
        <v>127</v>
      </c>
      <c r="F165" s="42">
        <f>SUM(F160:F164)</f>
        <v>59009</v>
      </c>
      <c r="G165" s="60"/>
      <c r="H165" s="42">
        <f>SUM(H160:H164)</f>
        <v>59009</v>
      </c>
      <c r="I165" s="60"/>
      <c r="J165" s="42">
        <f>SUM(J160:J164)</f>
        <v>1421.98</v>
      </c>
      <c r="K165" s="42">
        <f>SUM(K160:K164)</f>
        <v>40706.00000000001</v>
      </c>
      <c r="L165" s="60"/>
      <c r="M165" s="28">
        <f t="shared" si="8"/>
        <v>0.6898269755461033</v>
      </c>
      <c r="N165" s="42">
        <f>SUM(N160:N164)</f>
        <v>59009</v>
      </c>
    </row>
    <row r="166" spans="1:14" s="36" customFormat="1" ht="12.75" customHeight="1">
      <c r="A166" s="46"/>
      <c r="B166" s="46"/>
      <c r="C166" s="14" t="s">
        <v>211</v>
      </c>
      <c r="E166" s="37"/>
      <c r="F166" s="42"/>
      <c r="G166" s="60"/>
      <c r="H166" s="42"/>
      <c r="I166" s="60"/>
      <c r="J166" s="42"/>
      <c r="K166" s="42"/>
      <c r="L166" s="60"/>
      <c r="M166" s="28"/>
      <c r="N166" s="22"/>
    </row>
    <row r="167" spans="1:14" s="36" customFormat="1" ht="12.75" customHeight="1">
      <c r="A167" s="46"/>
      <c r="B167" s="46"/>
      <c r="C167" s="14"/>
      <c r="D167" s="14" t="s">
        <v>39</v>
      </c>
      <c r="E167" s="37"/>
      <c r="F167" s="42">
        <f>Expenditure!D98</f>
        <v>41750</v>
      </c>
      <c r="G167" s="60"/>
      <c r="H167" s="42">
        <f>Expenditure!E98</f>
        <v>41750</v>
      </c>
      <c r="I167" s="60"/>
      <c r="J167" s="42">
        <f>Expenditure!G98</f>
        <v>3.71</v>
      </c>
      <c r="K167" s="42">
        <f>Expenditure!K98</f>
        <v>29370.08</v>
      </c>
      <c r="L167" s="60"/>
      <c r="M167" s="28">
        <f aca="true" t="shared" si="9" ref="M167:M174">K167/H167</f>
        <v>0.7034749700598802</v>
      </c>
      <c r="N167" s="22">
        <f aca="true" t="shared" si="10" ref="N167:N173">H167</f>
        <v>41750</v>
      </c>
    </row>
    <row r="168" spans="1:14" s="36" customFormat="1" ht="12.75" customHeight="1">
      <c r="A168" s="46"/>
      <c r="B168" s="46"/>
      <c r="C168" s="14"/>
      <c r="D168" s="14" t="s">
        <v>40</v>
      </c>
      <c r="E168" s="37"/>
      <c r="F168" s="42">
        <f>Expenditure!D99</f>
        <v>5600</v>
      </c>
      <c r="G168" s="60"/>
      <c r="H168" s="42">
        <f>Expenditure!E99</f>
        <v>5600</v>
      </c>
      <c r="I168" s="60"/>
      <c r="J168" s="42">
        <f>Expenditure!G99</f>
        <v>83.2</v>
      </c>
      <c r="K168" s="42">
        <f>Expenditure!K99</f>
        <v>3101.55</v>
      </c>
      <c r="L168" s="60"/>
      <c r="M168" s="28">
        <f t="shared" si="9"/>
        <v>0.5538482142857143</v>
      </c>
      <c r="N168" s="22">
        <f t="shared" si="10"/>
        <v>5600</v>
      </c>
    </row>
    <row r="169" spans="1:14" s="36" customFormat="1" ht="12.75" customHeight="1">
      <c r="A169" s="46"/>
      <c r="B169" s="46"/>
      <c r="C169" s="14"/>
      <c r="D169" s="14" t="s">
        <v>41</v>
      </c>
      <c r="E169" s="37"/>
      <c r="F169" s="42">
        <f>Expenditure!D100</f>
        <v>33100</v>
      </c>
      <c r="G169" s="60"/>
      <c r="H169" s="42">
        <f>Expenditure!E100</f>
        <v>38940</v>
      </c>
      <c r="I169" s="60"/>
      <c r="J169" s="42">
        <f>Expenditure!G100</f>
        <v>301</v>
      </c>
      <c r="K169" s="42">
        <f>Expenditure!K100</f>
        <v>6498.08</v>
      </c>
      <c r="L169" s="60"/>
      <c r="M169" s="28">
        <f t="shared" si="9"/>
        <v>0.16687416538263997</v>
      </c>
      <c r="N169" s="22">
        <f t="shared" si="10"/>
        <v>38940</v>
      </c>
    </row>
    <row r="170" spans="1:14" s="36" customFormat="1" ht="12.75" customHeight="1">
      <c r="A170" s="46"/>
      <c r="B170" s="46"/>
      <c r="C170" s="14"/>
      <c r="D170" s="4" t="s">
        <v>110</v>
      </c>
      <c r="E170" s="37"/>
      <c r="F170" s="42">
        <f>Expenditure!D101</f>
        <v>857</v>
      </c>
      <c r="G170" s="60"/>
      <c r="H170" s="42">
        <f>Expenditure!E101</f>
        <v>857</v>
      </c>
      <c r="I170" s="60"/>
      <c r="J170" s="42">
        <f>Expenditure!G101</f>
        <v>0</v>
      </c>
      <c r="K170" s="42">
        <f>Expenditure!K101</f>
        <v>0</v>
      </c>
      <c r="L170" s="60"/>
      <c r="M170" s="28">
        <f t="shared" si="9"/>
        <v>0</v>
      </c>
      <c r="N170" s="22">
        <f t="shared" si="10"/>
        <v>857</v>
      </c>
    </row>
    <row r="171" spans="1:14" s="36" customFormat="1" ht="12.75" customHeight="1">
      <c r="A171" s="46"/>
      <c r="B171" s="46"/>
      <c r="C171" s="14"/>
      <c r="D171" s="4" t="s">
        <v>111</v>
      </c>
      <c r="E171" s="37"/>
      <c r="F171" s="42">
        <f>Expenditure!D102</f>
        <v>516</v>
      </c>
      <c r="G171" s="60"/>
      <c r="H171" s="42">
        <f>Expenditure!E102</f>
        <v>516</v>
      </c>
      <c r="I171" s="60"/>
      <c r="J171" s="42">
        <f>Expenditure!G102</f>
        <v>0</v>
      </c>
      <c r="K171" s="42">
        <f>Expenditure!K102</f>
        <v>0</v>
      </c>
      <c r="L171" s="60"/>
      <c r="M171" s="28">
        <f t="shared" si="9"/>
        <v>0</v>
      </c>
      <c r="N171" s="22">
        <f t="shared" si="10"/>
        <v>516</v>
      </c>
    </row>
    <row r="172" spans="1:14" s="36" customFormat="1" ht="12.75" customHeight="1">
      <c r="A172" s="46"/>
      <c r="B172" s="46"/>
      <c r="C172" s="14"/>
      <c r="D172" s="14" t="s">
        <v>42</v>
      </c>
      <c r="E172" s="37"/>
      <c r="F172" s="42">
        <f>Expenditure!D103</f>
        <v>35000</v>
      </c>
      <c r="G172" s="60"/>
      <c r="H172" s="42">
        <f>Expenditure!E103</f>
        <v>37630.53</v>
      </c>
      <c r="I172" s="60"/>
      <c r="J172" s="42">
        <f>Expenditure!G103</f>
        <v>834.27</v>
      </c>
      <c r="K172" s="42">
        <f>Expenditure!K103</f>
        <v>20363.22</v>
      </c>
      <c r="L172" s="60"/>
      <c r="M172" s="28">
        <f t="shared" si="9"/>
        <v>0.5411356151507832</v>
      </c>
      <c r="N172" s="22">
        <f t="shared" si="10"/>
        <v>37630.53</v>
      </c>
    </row>
    <row r="173" spans="1:14" s="36" customFormat="1" ht="12.75" customHeight="1">
      <c r="A173" s="46"/>
      <c r="B173" s="46"/>
      <c r="C173" s="14"/>
      <c r="D173" s="14" t="s">
        <v>55</v>
      </c>
      <c r="E173" s="37"/>
      <c r="F173" s="42">
        <f>Expenditure!D104</f>
        <v>1076</v>
      </c>
      <c r="G173" s="60"/>
      <c r="H173" s="42">
        <f>Expenditure!E104</f>
        <v>1076</v>
      </c>
      <c r="I173" s="60"/>
      <c r="J173" s="42">
        <f>Expenditure!G104</f>
        <v>0</v>
      </c>
      <c r="K173" s="42">
        <f>Expenditure!K104</f>
        <v>0</v>
      </c>
      <c r="L173" s="60"/>
      <c r="M173" s="28">
        <f t="shared" si="9"/>
        <v>0</v>
      </c>
      <c r="N173" s="22">
        <f t="shared" si="10"/>
        <v>1076</v>
      </c>
    </row>
    <row r="174" spans="1:14" s="36" customFormat="1" ht="12.75" customHeight="1">
      <c r="A174" s="46"/>
      <c r="B174" s="46"/>
      <c r="C174" s="14"/>
      <c r="E174" s="42" t="s">
        <v>127</v>
      </c>
      <c r="F174" s="42">
        <f>SUM(F167:F173)</f>
        <v>117899</v>
      </c>
      <c r="G174" s="60"/>
      <c r="H174" s="42">
        <f>SUM(H167:H173)</f>
        <v>126369.53</v>
      </c>
      <c r="I174" s="60"/>
      <c r="J174" s="42">
        <f>SUM(J167:J173)</f>
        <v>1222.1799999999998</v>
      </c>
      <c r="K174" s="42">
        <f>SUM(K167:K173)</f>
        <v>59332.93</v>
      </c>
      <c r="L174" s="60"/>
      <c r="M174" s="28">
        <f t="shared" si="9"/>
        <v>0.4695192741478108</v>
      </c>
      <c r="N174" s="42">
        <f>SUM(N167:N173)</f>
        <v>126369.53</v>
      </c>
    </row>
    <row r="175" spans="1:14" s="35" customFormat="1" ht="12.75" customHeight="1">
      <c r="A175" s="46"/>
      <c r="B175" s="46"/>
      <c r="E175" s="42" t="s">
        <v>212</v>
      </c>
      <c r="F175" s="42">
        <f>F165-F174</f>
        <v>-58890</v>
      </c>
      <c r="G175" s="60"/>
      <c r="H175" s="42">
        <f>H165-H174</f>
        <v>-67360.53</v>
      </c>
      <c r="I175" s="60"/>
      <c r="J175" s="42">
        <f>J165-J174</f>
        <v>199.80000000000018</v>
      </c>
      <c r="K175" s="42">
        <f>K165-K174</f>
        <v>-18626.929999999993</v>
      </c>
      <c r="L175" s="60"/>
      <c r="M175" s="42"/>
      <c r="N175" s="42">
        <f>N165-N174</f>
        <v>-67360.53</v>
      </c>
    </row>
    <row r="176" spans="5:13" s="38" customFormat="1" ht="12.75" customHeight="1">
      <c r="E176" s="42"/>
      <c r="G176" s="63"/>
      <c r="I176" s="63"/>
      <c r="L176" s="63"/>
      <c r="M176" s="42"/>
    </row>
    <row r="177" spans="5:14" s="38" customFormat="1" ht="12.75" customHeight="1">
      <c r="E177" s="42" t="s">
        <v>209</v>
      </c>
      <c r="F177" s="38">
        <f>F158+F175</f>
        <v>-152819.45999999996</v>
      </c>
      <c r="G177" s="63"/>
      <c r="H177" s="38">
        <f>H158+H175</f>
        <v>-168259.62999999992</v>
      </c>
      <c r="I177" s="63"/>
      <c r="J177" s="38">
        <f>J158+J175</f>
        <v>-3452.8200000000043</v>
      </c>
      <c r="K177" s="38">
        <f>K158+K175</f>
        <v>-37518.22999999995</v>
      </c>
      <c r="L177" s="63"/>
      <c r="M177" s="42"/>
      <c r="N177" s="38">
        <f>N158+N175</f>
        <v>-168259.62999999992</v>
      </c>
    </row>
    <row r="178" spans="3:14" s="40" customFormat="1" ht="12.75" customHeight="1">
      <c r="C178" s="38"/>
      <c r="E178" s="41"/>
      <c r="F178" s="36"/>
      <c r="G178" s="86"/>
      <c r="I178" s="84"/>
      <c r="K178" s="36"/>
      <c r="L178" s="86"/>
      <c r="M178" s="42"/>
      <c r="N178" s="43" t="s">
        <v>175</v>
      </c>
    </row>
    <row r="179" spans="1:14" s="40" customFormat="1" ht="12.75" customHeight="1">
      <c r="A179" s="39" t="s">
        <v>213</v>
      </c>
      <c r="C179" s="38"/>
      <c r="E179" s="41"/>
      <c r="F179" s="45" t="s">
        <v>201</v>
      </c>
      <c r="G179" s="88"/>
      <c r="I179" s="84"/>
      <c r="K179" s="43" t="s">
        <v>22</v>
      </c>
      <c r="L179" s="87"/>
      <c r="M179" s="42"/>
      <c r="N179" s="44" t="s">
        <v>173</v>
      </c>
    </row>
    <row r="180" spans="3:14" s="40" customFormat="1" ht="12.75" customHeight="1">
      <c r="C180" s="38"/>
      <c r="E180" s="41"/>
      <c r="F180" s="45"/>
      <c r="G180" s="88"/>
      <c r="I180" s="84"/>
      <c r="K180" s="43"/>
      <c r="L180" s="87"/>
      <c r="M180" s="42"/>
      <c r="N180" s="44"/>
    </row>
    <row r="181" spans="1:14" s="10" customFormat="1" ht="12.75" customHeight="1">
      <c r="A181" s="30"/>
      <c r="B181" s="30"/>
      <c r="C181" s="17"/>
      <c r="D181" s="27"/>
      <c r="E181" s="9" t="s">
        <v>168</v>
      </c>
      <c r="F181" s="24">
        <f>F183-F182</f>
        <v>204241.97</v>
      </c>
      <c r="G181" s="79"/>
      <c r="H181" s="24"/>
      <c r="I181" s="79"/>
      <c r="J181" s="24"/>
      <c r="K181" s="24">
        <f>F183+K177</f>
        <v>182163.91</v>
      </c>
      <c r="L181" s="79"/>
      <c r="M181" s="29"/>
      <c r="N181" s="24">
        <f>F183+N177</f>
        <v>51422.51000000004</v>
      </c>
    </row>
    <row r="182" spans="3:14" s="3" customFormat="1" ht="12.75" customHeight="1">
      <c r="C182" s="16"/>
      <c r="D182" s="62"/>
      <c r="E182" s="59" t="s">
        <v>169</v>
      </c>
      <c r="F182" s="55">
        <f>Expenditure!E30-Expenditure!D30+Expenditure!E97-Expenditure!D97</f>
        <v>15440.169999999955</v>
      </c>
      <c r="G182" s="55"/>
      <c r="H182" s="55"/>
      <c r="I182" s="55"/>
      <c r="J182" s="55"/>
      <c r="K182" s="55">
        <f>Expenditure!H30+Expenditure!H97</f>
        <v>2403.73</v>
      </c>
      <c r="L182" s="55"/>
      <c r="M182" s="59"/>
      <c r="N182" s="55"/>
    </row>
    <row r="183" spans="5:14" s="4" customFormat="1" ht="12.75" customHeight="1">
      <c r="E183" s="59" t="s">
        <v>171</v>
      </c>
      <c r="F183" s="55">
        <f>31853.65+19328.49+17.52+0+0.46+2.3+79.05+33220.24+5309.18+4715.24+4977.5+1909.77+4232.87+13482.97+23466.84+28982.49+857.21+0+516.22+45753.21+976.93</f>
        <v>219682.13999999996</v>
      </c>
      <c r="G183" s="55"/>
      <c r="K183" s="57">
        <f>K181+K182</f>
        <v>184567.64</v>
      </c>
      <c r="L183" s="57"/>
      <c r="M183" s="59"/>
      <c r="N183" s="59"/>
    </row>
    <row r="185" spans="1:14" s="10" customFormat="1" ht="12.75" customHeight="1">
      <c r="A185" s="30"/>
      <c r="B185" s="30"/>
      <c r="C185" s="33"/>
      <c r="F185" s="10" t="s">
        <v>17</v>
      </c>
      <c r="G185" s="8"/>
      <c r="H185" s="10" t="s">
        <v>19</v>
      </c>
      <c r="I185" s="8"/>
      <c r="J185" s="10" t="s">
        <v>167</v>
      </c>
      <c r="K185" s="10" t="s">
        <v>20</v>
      </c>
      <c r="L185" s="8"/>
      <c r="M185" s="10" t="s">
        <v>174</v>
      </c>
      <c r="N185" s="10" t="s">
        <v>175</v>
      </c>
    </row>
    <row r="186" spans="1:14" s="10" customFormat="1" ht="12.75" customHeight="1">
      <c r="A186" s="13"/>
      <c r="B186" s="13"/>
      <c r="C186" s="33"/>
      <c r="G186" s="8"/>
      <c r="H186" s="10" t="s">
        <v>172</v>
      </c>
      <c r="I186" s="8"/>
      <c r="J186" s="10" t="s">
        <v>21</v>
      </c>
      <c r="K186" s="10" t="s">
        <v>166</v>
      </c>
      <c r="L186" s="8"/>
      <c r="M186" s="10" t="s">
        <v>181</v>
      </c>
      <c r="N186" s="10" t="s">
        <v>166</v>
      </c>
    </row>
    <row r="187" spans="1:14" s="36" customFormat="1" ht="12.75" customHeight="1">
      <c r="A187" s="47" t="s">
        <v>186</v>
      </c>
      <c r="E187" s="37"/>
      <c r="F187" s="37"/>
      <c r="G187" s="81"/>
      <c r="H187" s="37"/>
      <c r="I187" s="81"/>
      <c r="J187" s="37"/>
      <c r="K187" s="37"/>
      <c r="L187" s="81"/>
      <c r="M187" s="37"/>
      <c r="N187" s="37"/>
    </row>
    <row r="188" spans="1:14" s="36" customFormat="1" ht="12.75" customHeight="1">
      <c r="A188" s="46"/>
      <c r="B188" s="46"/>
      <c r="C188" s="14" t="s">
        <v>184</v>
      </c>
      <c r="E188" s="37"/>
      <c r="F188" s="42">
        <f>Revenue!D86</f>
        <v>114300</v>
      </c>
      <c r="G188" s="60"/>
      <c r="H188" s="42">
        <f>Revenue!E86</f>
        <v>114300</v>
      </c>
      <c r="I188" s="60"/>
      <c r="J188" s="42">
        <f>Revenue!G86</f>
        <v>0</v>
      </c>
      <c r="K188" s="42">
        <f>Revenue!K86</f>
        <v>154600</v>
      </c>
      <c r="L188" s="60"/>
      <c r="M188" s="28">
        <f>K188/H188</f>
        <v>1.352580927384077</v>
      </c>
      <c r="N188" s="22">
        <f>K188</f>
        <v>154600</v>
      </c>
    </row>
    <row r="189" spans="1:14" s="36" customFormat="1" ht="12.75" customHeight="1">
      <c r="A189" s="46"/>
      <c r="B189" s="46"/>
      <c r="C189" s="14"/>
      <c r="E189" s="37"/>
      <c r="F189" s="42"/>
      <c r="G189" s="60"/>
      <c r="H189" s="42"/>
      <c r="I189" s="60"/>
      <c r="J189" s="42"/>
      <c r="K189" s="42"/>
      <c r="L189" s="60"/>
      <c r="M189" s="28"/>
      <c r="N189" s="22"/>
    </row>
    <row r="190" spans="1:15" s="36" customFormat="1" ht="12.75" customHeight="1">
      <c r="A190" s="46"/>
      <c r="B190" s="46"/>
      <c r="C190" s="14" t="s">
        <v>160</v>
      </c>
      <c r="E190" s="37"/>
      <c r="F190" s="48"/>
      <c r="G190" s="85"/>
      <c r="H190" s="48"/>
      <c r="I190" s="85"/>
      <c r="J190" s="48"/>
      <c r="K190" s="48"/>
      <c r="L190" s="85"/>
      <c r="M190" s="49"/>
      <c r="N190" s="49"/>
      <c r="O190" s="50"/>
    </row>
    <row r="191" spans="1:15" s="36" customFormat="1" ht="12.75" customHeight="1">
      <c r="A191" s="46"/>
      <c r="B191" s="46"/>
      <c r="C191" s="14"/>
      <c r="D191" s="46" t="s">
        <v>188</v>
      </c>
      <c r="E191" s="37"/>
      <c r="F191" s="48">
        <f>Expenditure!D54</f>
        <v>5700</v>
      </c>
      <c r="G191" s="85"/>
      <c r="H191" s="48">
        <f>Expenditure!E54</f>
        <v>5700</v>
      </c>
      <c r="I191" s="85"/>
      <c r="J191" s="48">
        <f>Expenditure!G54</f>
        <v>0</v>
      </c>
      <c r="K191" s="48">
        <f>Expenditure!K54</f>
        <v>5656.2</v>
      </c>
      <c r="L191" s="85"/>
      <c r="M191" s="28">
        <f>K191/H191</f>
        <v>0.9923157894736842</v>
      </c>
      <c r="N191" s="49">
        <f>H191</f>
        <v>5700</v>
      </c>
      <c r="O191" s="50"/>
    </row>
    <row r="192" spans="1:15" s="36" customFormat="1" ht="12.75" customHeight="1">
      <c r="A192" s="46"/>
      <c r="B192" s="46"/>
      <c r="C192" s="14"/>
      <c r="D192" s="46" t="s">
        <v>191</v>
      </c>
      <c r="E192" s="37"/>
      <c r="F192" s="48">
        <f>Expenditure!D55</f>
        <v>34450</v>
      </c>
      <c r="G192" s="85"/>
      <c r="H192" s="48">
        <f>Expenditure!E55</f>
        <v>34450</v>
      </c>
      <c r="I192" s="85"/>
      <c r="J192" s="48">
        <f>Expenditure!G55</f>
        <v>9856.77</v>
      </c>
      <c r="K192" s="48">
        <f>Expenditure!K55</f>
        <v>33493.020000000004</v>
      </c>
      <c r="L192" s="85"/>
      <c r="M192" s="28">
        <f aca="true" t="shared" si="11" ref="M192:M202">K192/H192</f>
        <v>0.9722211901306242</v>
      </c>
      <c r="N192" s="49">
        <f aca="true" t="shared" si="12" ref="N192:N200">H192</f>
        <v>34450</v>
      </c>
      <c r="O192" s="50"/>
    </row>
    <row r="193" spans="1:15" s="36" customFormat="1" ht="12.75" customHeight="1">
      <c r="A193" s="46"/>
      <c r="B193" s="46"/>
      <c r="C193" s="14"/>
      <c r="D193" s="46" t="s">
        <v>189</v>
      </c>
      <c r="E193" s="37"/>
      <c r="F193" s="48">
        <f>Expenditure!D56</f>
        <v>2500</v>
      </c>
      <c r="G193" s="85"/>
      <c r="H193" s="48">
        <f>Expenditure!E56</f>
        <v>2500</v>
      </c>
      <c r="I193" s="85"/>
      <c r="J193" s="48">
        <f>Expenditure!G56</f>
        <v>0</v>
      </c>
      <c r="K193" s="48">
        <f>Expenditure!K56</f>
        <v>0</v>
      </c>
      <c r="L193" s="85"/>
      <c r="M193" s="28">
        <f t="shared" si="11"/>
        <v>0</v>
      </c>
      <c r="N193" s="49">
        <f t="shared" si="12"/>
        <v>2500</v>
      </c>
      <c r="O193" s="50"/>
    </row>
    <row r="194" spans="1:15" s="36" customFormat="1" ht="12.75" customHeight="1">
      <c r="A194" s="46"/>
      <c r="B194" s="46"/>
      <c r="C194" s="14"/>
      <c r="D194" s="46" t="s">
        <v>161</v>
      </c>
      <c r="E194" s="37"/>
      <c r="F194" s="48">
        <f>Expenditure!D57</f>
        <v>0</v>
      </c>
      <c r="G194" s="85"/>
      <c r="H194" s="48">
        <f>Expenditure!E57</f>
        <v>0</v>
      </c>
      <c r="I194" s="85"/>
      <c r="J194" s="48">
        <f>Expenditure!G57</f>
        <v>0</v>
      </c>
      <c r="K194" s="48">
        <f>Expenditure!K57</f>
        <v>3150</v>
      </c>
      <c r="L194" s="85"/>
      <c r="M194" s="28"/>
      <c r="N194" s="49">
        <f>K194</f>
        <v>3150</v>
      </c>
      <c r="O194" s="50"/>
    </row>
    <row r="195" spans="1:15" s="36" customFormat="1" ht="12.75" customHeight="1">
      <c r="A195" s="46"/>
      <c r="B195" s="46"/>
      <c r="C195" s="14"/>
      <c r="D195" s="46" t="s">
        <v>190</v>
      </c>
      <c r="E195" s="37"/>
      <c r="F195" s="48">
        <f>Expenditure!D58</f>
        <v>37000</v>
      </c>
      <c r="G195" s="85"/>
      <c r="H195" s="48">
        <f>Expenditure!E58</f>
        <v>43732.99</v>
      </c>
      <c r="I195" s="85"/>
      <c r="J195" s="48">
        <f>Expenditure!G58</f>
        <v>56</v>
      </c>
      <c r="K195" s="48">
        <f>Expenditure!K58</f>
        <v>29408.480000000003</v>
      </c>
      <c r="L195" s="85"/>
      <c r="M195" s="28">
        <f t="shared" si="11"/>
        <v>0.6724552791839754</v>
      </c>
      <c r="N195" s="49">
        <f t="shared" si="12"/>
        <v>43732.99</v>
      </c>
      <c r="O195" s="50"/>
    </row>
    <row r="196" spans="1:15" s="36" customFormat="1" ht="12.75" customHeight="1">
      <c r="A196" s="46"/>
      <c r="B196" s="46"/>
      <c r="C196" s="14"/>
      <c r="D196" s="46" t="s">
        <v>192</v>
      </c>
      <c r="E196" s="37"/>
      <c r="F196" s="48">
        <f>Expenditure!D59</f>
        <v>3850</v>
      </c>
      <c r="G196" s="85"/>
      <c r="H196" s="48">
        <f>Expenditure!E59</f>
        <v>5706</v>
      </c>
      <c r="I196" s="85"/>
      <c r="J196" s="48">
        <f>Expenditure!G59</f>
        <v>0</v>
      </c>
      <c r="K196" s="48">
        <f>Expenditure!K59</f>
        <v>1130.25</v>
      </c>
      <c r="L196" s="85"/>
      <c r="M196" s="28">
        <f t="shared" si="11"/>
        <v>0.19808096740273395</v>
      </c>
      <c r="N196" s="49">
        <f t="shared" si="12"/>
        <v>5706</v>
      </c>
      <c r="O196" s="50"/>
    </row>
    <row r="197" spans="1:15" s="36" customFormat="1" ht="12.75" customHeight="1">
      <c r="A197" s="46"/>
      <c r="B197" s="46"/>
      <c r="C197" s="14"/>
      <c r="D197" s="46" t="s">
        <v>193</v>
      </c>
      <c r="E197" s="37"/>
      <c r="F197" s="48">
        <f>Expenditure!D60</f>
        <v>50000</v>
      </c>
      <c r="G197" s="85"/>
      <c r="H197" s="48">
        <f>Expenditure!E60</f>
        <v>50000</v>
      </c>
      <c r="I197" s="85"/>
      <c r="J197" s="48">
        <f>Expenditure!G60</f>
        <v>0</v>
      </c>
      <c r="K197" s="48">
        <f>Expenditure!K60</f>
        <v>45314</v>
      </c>
      <c r="L197" s="85"/>
      <c r="M197" s="28">
        <f t="shared" si="11"/>
        <v>0.90628</v>
      </c>
      <c r="N197" s="49">
        <f t="shared" si="12"/>
        <v>50000</v>
      </c>
      <c r="O197" s="50"/>
    </row>
    <row r="198" spans="1:15" s="36" customFormat="1" ht="12.75" customHeight="1">
      <c r="A198" s="46"/>
      <c r="B198" s="46"/>
      <c r="C198" s="14"/>
      <c r="D198" s="46" t="s">
        <v>194</v>
      </c>
      <c r="E198" s="37"/>
      <c r="F198" s="48">
        <f>Expenditure!D61</f>
        <v>3000</v>
      </c>
      <c r="G198" s="85"/>
      <c r="H198" s="48">
        <f>Expenditure!E61</f>
        <v>3000</v>
      </c>
      <c r="I198" s="85"/>
      <c r="J198" s="48">
        <f>Expenditure!G61</f>
        <v>0</v>
      </c>
      <c r="K198" s="48">
        <f>Expenditure!K61</f>
        <v>350</v>
      </c>
      <c r="L198" s="85"/>
      <c r="M198" s="28">
        <f t="shared" si="11"/>
        <v>0.11666666666666667</v>
      </c>
      <c r="N198" s="49">
        <f t="shared" si="12"/>
        <v>3000</v>
      </c>
      <c r="O198" s="50"/>
    </row>
    <row r="199" spans="1:15" s="36" customFormat="1" ht="12.75" customHeight="1">
      <c r="A199" s="46"/>
      <c r="B199" s="46"/>
      <c r="C199" s="14"/>
      <c r="D199" s="46" t="s">
        <v>195</v>
      </c>
      <c r="E199" s="37"/>
      <c r="F199" s="48">
        <f>Expenditure!D62</f>
        <v>5100</v>
      </c>
      <c r="G199" s="85"/>
      <c r="H199" s="48">
        <f>Expenditure!E62</f>
        <v>5100</v>
      </c>
      <c r="I199" s="85"/>
      <c r="J199" s="48">
        <f>Expenditure!G62</f>
        <v>0</v>
      </c>
      <c r="K199" s="48">
        <f>Expenditure!K62</f>
        <v>2095.75</v>
      </c>
      <c r="L199" s="85"/>
      <c r="M199" s="28">
        <f t="shared" si="11"/>
        <v>0.4109313725490196</v>
      </c>
      <c r="N199" s="49">
        <f t="shared" si="12"/>
        <v>5100</v>
      </c>
      <c r="O199" s="50"/>
    </row>
    <row r="200" spans="1:15" s="36" customFormat="1" ht="12.75" customHeight="1">
      <c r="A200" s="46"/>
      <c r="B200" s="46"/>
      <c r="C200" s="14"/>
      <c r="D200" s="46" t="s">
        <v>196</v>
      </c>
      <c r="E200" s="37"/>
      <c r="F200" s="48">
        <f>Expenditure!D63</f>
        <v>13000</v>
      </c>
      <c r="G200" s="85"/>
      <c r="H200" s="48">
        <f>Expenditure!E63</f>
        <v>13000</v>
      </c>
      <c r="I200" s="85"/>
      <c r="J200" s="48">
        <f>Expenditure!G63</f>
        <v>0</v>
      </c>
      <c r="K200" s="48">
        <f>Expenditure!K63</f>
        <v>7945</v>
      </c>
      <c r="L200" s="85"/>
      <c r="M200" s="28">
        <f t="shared" si="11"/>
        <v>0.6111538461538462</v>
      </c>
      <c r="N200" s="49">
        <f t="shared" si="12"/>
        <v>13000</v>
      </c>
      <c r="O200" s="50"/>
    </row>
    <row r="201" spans="1:15" s="36" customFormat="1" ht="12.75" customHeight="1">
      <c r="A201" s="46"/>
      <c r="B201" s="46"/>
      <c r="C201" s="14"/>
      <c r="D201" s="46"/>
      <c r="E201" s="37"/>
      <c r="F201" s="48"/>
      <c r="G201" s="85"/>
      <c r="H201" s="48"/>
      <c r="I201" s="85"/>
      <c r="J201" s="48"/>
      <c r="K201" s="48"/>
      <c r="L201" s="85"/>
      <c r="M201" s="49"/>
      <c r="N201" s="49"/>
      <c r="O201" s="50"/>
    </row>
    <row r="202" spans="1:15" s="36" customFormat="1" ht="12.75" customHeight="1">
      <c r="A202" s="46"/>
      <c r="B202" s="46"/>
      <c r="C202" s="14"/>
      <c r="D202" s="46"/>
      <c r="E202" s="42" t="s">
        <v>127</v>
      </c>
      <c r="F202" s="48">
        <f>SUM(F191:F201)</f>
        <v>154600</v>
      </c>
      <c r="G202" s="85"/>
      <c r="H202" s="48">
        <f>SUM(H191:H201)</f>
        <v>163188.99</v>
      </c>
      <c r="I202" s="85"/>
      <c r="J202" s="48">
        <f>SUM(J191:J201)</f>
        <v>9912.77</v>
      </c>
      <c r="K202" s="48">
        <f>SUM(K191:K201)</f>
        <v>128542.70000000001</v>
      </c>
      <c r="L202" s="85"/>
      <c r="M202" s="28">
        <f t="shared" si="11"/>
        <v>0.7876922334037365</v>
      </c>
      <c r="N202" s="48">
        <f>SUM(N191:N201)</f>
        <v>166338.99</v>
      </c>
      <c r="O202" s="50"/>
    </row>
    <row r="203" spans="1:14" s="36" customFormat="1" ht="12.75" customHeight="1">
      <c r="A203" s="46"/>
      <c r="B203" s="46"/>
      <c r="C203" s="14"/>
      <c r="E203" s="37"/>
      <c r="F203" s="42"/>
      <c r="G203" s="60"/>
      <c r="H203" s="42"/>
      <c r="I203" s="60"/>
      <c r="J203" s="42"/>
      <c r="K203" s="42"/>
      <c r="L203" s="60"/>
      <c r="M203" s="28"/>
      <c r="N203" s="22"/>
    </row>
    <row r="204" spans="1:14" s="35" customFormat="1" ht="12.75" customHeight="1">
      <c r="A204" s="46"/>
      <c r="B204" s="46"/>
      <c r="E204" s="42" t="s">
        <v>180</v>
      </c>
      <c r="F204" s="42">
        <f>F188-F202</f>
        <v>-40300</v>
      </c>
      <c r="G204" s="60"/>
      <c r="H204" s="42">
        <f>H188-H202</f>
        <v>-48888.98999999999</v>
      </c>
      <c r="I204" s="60"/>
      <c r="J204" s="42">
        <f>J188-J202</f>
        <v>-9912.77</v>
      </c>
      <c r="K204" s="42">
        <f>K188-K202</f>
        <v>26057.29999999999</v>
      </c>
      <c r="L204" s="60"/>
      <c r="M204" s="42"/>
      <c r="N204" s="42">
        <f>N188-N202</f>
        <v>-11738.98999999999</v>
      </c>
    </row>
    <row r="206" spans="3:14" s="40" customFormat="1" ht="12.75" customHeight="1">
      <c r="C206" s="38"/>
      <c r="E206" s="41"/>
      <c r="F206" s="36"/>
      <c r="G206" s="86"/>
      <c r="I206" s="84"/>
      <c r="K206" s="36"/>
      <c r="L206" s="86"/>
      <c r="M206" s="42"/>
      <c r="N206" s="43" t="s">
        <v>175</v>
      </c>
    </row>
    <row r="207" spans="1:14" s="40" customFormat="1" ht="12.75" customHeight="1">
      <c r="A207" s="39" t="s">
        <v>202</v>
      </c>
      <c r="C207" s="38"/>
      <c r="E207" s="41"/>
      <c r="F207" s="45" t="s">
        <v>201</v>
      </c>
      <c r="G207" s="88"/>
      <c r="I207" s="84"/>
      <c r="K207" s="43" t="s">
        <v>22</v>
      </c>
      <c r="L207" s="87"/>
      <c r="M207" s="42"/>
      <c r="N207" s="44" t="s">
        <v>173</v>
      </c>
    </row>
    <row r="208" spans="3:14" s="40" customFormat="1" ht="12.75" customHeight="1">
      <c r="C208" s="38"/>
      <c r="E208" s="41"/>
      <c r="F208" s="45"/>
      <c r="G208" s="88"/>
      <c r="I208" s="84"/>
      <c r="K208" s="43"/>
      <c r="L208" s="87"/>
      <c r="M208" s="42"/>
      <c r="N208" s="44"/>
    </row>
    <row r="209" spans="1:14" s="10" customFormat="1" ht="12.75" customHeight="1">
      <c r="A209" s="30"/>
      <c r="B209" s="30"/>
      <c r="C209" s="17"/>
      <c r="D209" s="27"/>
      <c r="E209" s="9" t="s">
        <v>168</v>
      </c>
      <c r="F209" s="24">
        <f>F211-F210</f>
        <v>70201.47000000002</v>
      </c>
      <c r="G209" s="79"/>
      <c r="H209" s="24"/>
      <c r="I209" s="79"/>
      <c r="J209" s="24"/>
      <c r="K209" s="24">
        <f>F211+K204</f>
        <v>104847.76</v>
      </c>
      <c r="L209" s="79"/>
      <c r="M209" s="29"/>
      <c r="N209" s="24">
        <f>F211+N204</f>
        <v>67051.47000000002</v>
      </c>
    </row>
    <row r="210" spans="3:14" s="3" customFormat="1" ht="12.75" customHeight="1">
      <c r="C210" s="16"/>
      <c r="D210" s="62"/>
      <c r="E210" s="59" t="s">
        <v>169</v>
      </c>
      <c r="F210" s="55">
        <f>Expenditure!E53-Expenditure!D53</f>
        <v>8588.98999999999</v>
      </c>
      <c r="G210" s="55"/>
      <c r="H210" s="55"/>
      <c r="I210" s="55"/>
      <c r="J210" s="55"/>
      <c r="K210" s="55">
        <f>Expenditure!H53</f>
        <v>82968.79000000001</v>
      </c>
      <c r="L210" s="55"/>
      <c r="M210" s="59"/>
      <c r="N210" s="55"/>
    </row>
    <row r="211" spans="5:14" s="4" customFormat="1" ht="12.75" customHeight="1">
      <c r="E211" s="59" t="s">
        <v>171</v>
      </c>
      <c r="F211" s="55">
        <v>78790.46</v>
      </c>
      <c r="G211" s="55"/>
      <c r="K211" s="57">
        <f>K209+K210</f>
        <v>187816.55</v>
      </c>
      <c r="L211" s="57"/>
      <c r="M211" s="59"/>
      <c r="N211" s="59"/>
    </row>
    <row r="215" spans="1:14" s="10" customFormat="1" ht="12.75" customHeight="1">
      <c r="A215" s="30"/>
      <c r="B215" s="30"/>
      <c r="C215" s="33"/>
      <c r="F215" s="10" t="s">
        <v>17</v>
      </c>
      <c r="G215" s="8"/>
      <c r="H215" s="10" t="s">
        <v>19</v>
      </c>
      <c r="I215" s="8"/>
      <c r="J215" s="10" t="s">
        <v>167</v>
      </c>
      <c r="K215" s="10" t="s">
        <v>20</v>
      </c>
      <c r="L215" s="8"/>
      <c r="M215" s="10" t="s">
        <v>174</v>
      </c>
      <c r="N215" s="10" t="s">
        <v>175</v>
      </c>
    </row>
    <row r="216" spans="1:14" s="10" customFormat="1" ht="12.75" customHeight="1">
      <c r="A216" s="13"/>
      <c r="B216" s="13"/>
      <c r="C216" s="33"/>
      <c r="G216" s="8"/>
      <c r="H216" s="10" t="s">
        <v>172</v>
      </c>
      <c r="I216" s="8"/>
      <c r="J216" s="10" t="s">
        <v>21</v>
      </c>
      <c r="K216" s="10" t="s">
        <v>166</v>
      </c>
      <c r="L216" s="8"/>
      <c r="M216" s="10" t="s">
        <v>181</v>
      </c>
      <c r="N216" s="10" t="s">
        <v>166</v>
      </c>
    </row>
    <row r="217" spans="1:14" s="36" customFormat="1" ht="12.75" customHeight="1">
      <c r="A217" s="47" t="s">
        <v>187</v>
      </c>
      <c r="E217" s="37"/>
      <c r="F217" s="37"/>
      <c r="G217" s="81"/>
      <c r="H217" s="37"/>
      <c r="I217" s="81"/>
      <c r="J217" s="37"/>
      <c r="K217" s="37"/>
      <c r="L217" s="81"/>
      <c r="M217" s="37"/>
      <c r="N217" s="37"/>
    </row>
    <row r="218" spans="1:14" s="36" customFormat="1" ht="12.75" customHeight="1">
      <c r="A218" s="46"/>
      <c r="B218" s="46"/>
      <c r="C218" s="14" t="s">
        <v>159</v>
      </c>
      <c r="E218" s="37"/>
      <c r="F218" s="42"/>
      <c r="G218" s="60"/>
      <c r="H218" s="42"/>
      <c r="I218" s="60"/>
      <c r="J218" s="42"/>
      <c r="K218" s="42"/>
      <c r="L218" s="60"/>
      <c r="M218" s="28"/>
      <c r="N218" s="22"/>
    </row>
    <row r="219" spans="1:14" s="36" customFormat="1" ht="12.75" customHeight="1">
      <c r="A219" s="46"/>
      <c r="B219" s="46"/>
      <c r="D219" s="14" t="s">
        <v>198</v>
      </c>
      <c r="E219" s="37"/>
      <c r="F219" s="42">
        <f>Revenue!D92</f>
        <v>98545</v>
      </c>
      <c r="G219" s="60"/>
      <c r="H219" s="42">
        <f>Revenue!E92</f>
        <v>98545</v>
      </c>
      <c r="I219" s="60"/>
      <c r="J219" s="42">
        <f>Revenue!G92</f>
        <v>0</v>
      </c>
      <c r="K219" s="42">
        <f>Revenue!K92</f>
        <v>98546</v>
      </c>
      <c r="L219" s="60"/>
      <c r="M219" s="28">
        <f>K219/H219</f>
        <v>1.0000101476482826</v>
      </c>
      <c r="N219" s="22">
        <f>H219</f>
        <v>98545</v>
      </c>
    </row>
    <row r="220" spans="1:14" s="36" customFormat="1" ht="12.75" customHeight="1">
      <c r="A220" s="46"/>
      <c r="B220" s="46"/>
      <c r="D220" s="14" t="s">
        <v>15</v>
      </c>
      <c r="E220" s="37"/>
      <c r="F220" s="42">
        <f>Revenue!D91</f>
        <v>0</v>
      </c>
      <c r="G220" s="60"/>
      <c r="H220" s="42">
        <f>Revenue!E91</f>
        <v>0</v>
      </c>
      <c r="I220" s="60"/>
      <c r="J220" s="42">
        <f>Revenue!G91</f>
        <v>0</v>
      </c>
      <c r="K220" s="42">
        <f>Revenue!K91</f>
        <v>48519.3</v>
      </c>
      <c r="L220" s="60"/>
      <c r="M220" s="28"/>
      <c r="N220" s="22">
        <f>K220</f>
        <v>48519.3</v>
      </c>
    </row>
    <row r="221" spans="1:14" s="36" customFormat="1" ht="12.75" customHeight="1">
      <c r="A221" s="46"/>
      <c r="B221" s="46"/>
      <c r="C221" s="14"/>
      <c r="E221" s="37" t="s">
        <v>127</v>
      </c>
      <c r="F221" s="42">
        <f>SUM(F219:F220)</f>
        <v>98545</v>
      </c>
      <c r="G221" s="60"/>
      <c r="H221" s="42">
        <f>SUM(H219:H220)</f>
        <v>98545</v>
      </c>
      <c r="I221" s="60"/>
      <c r="J221" s="42">
        <f>SUM(J219:J220)</f>
        <v>0</v>
      </c>
      <c r="K221" s="42">
        <f>SUM(K219:K220)</f>
        <v>147065.3</v>
      </c>
      <c r="L221" s="60"/>
      <c r="M221" s="28">
        <f>K221/H221</f>
        <v>1.4923669389618954</v>
      </c>
      <c r="N221" s="42">
        <f>SUM(N219:N220)</f>
        <v>147064.3</v>
      </c>
    </row>
    <row r="222" spans="1:14" s="36" customFormat="1" ht="12.75" customHeight="1">
      <c r="A222" s="46"/>
      <c r="B222" s="46"/>
      <c r="C222" s="14"/>
      <c r="E222" s="37"/>
      <c r="F222" s="42"/>
      <c r="G222" s="60"/>
      <c r="H222" s="42"/>
      <c r="I222" s="60"/>
      <c r="J222" s="42"/>
      <c r="K222" s="42"/>
      <c r="L222" s="60"/>
      <c r="M222" s="28"/>
      <c r="N222" s="22"/>
    </row>
    <row r="223" spans="1:14" s="36" customFormat="1" ht="12.75" customHeight="1">
      <c r="A223" s="46"/>
      <c r="B223" s="46"/>
      <c r="C223" s="14" t="s">
        <v>160</v>
      </c>
      <c r="E223" s="37"/>
      <c r="F223" s="42"/>
      <c r="G223" s="60"/>
      <c r="H223" s="42"/>
      <c r="I223" s="60"/>
      <c r="J223" s="42"/>
      <c r="K223" s="22"/>
      <c r="L223" s="55"/>
      <c r="M223" s="28"/>
      <c r="N223" s="22"/>
    </row>
    <row r="224" spans="1:14" s="36" customFormat="1" ht="12.75" customHeight="1">
      <c r="A224" s="46"/>
      <c r="B224" s="46"/>
      <c r="C224" s="14"/>
      <c r="E224" s="46" t="s">
        <v>63</v>
      </c>
      <c r="F224" s="42">
        <f>Expenditure!D69</f>
        <v>0</v>
      </c>
      <c r="G224" s="60"/>
      <c r="H224" s="42">
        <f>Expenditure!E69</f>
        <v>0</v>
      </c>
      <c r="I224" s="60"/>
      <c r="J224" s="42">
        <f>Expenditure!G69</f>
        <v>0</v>
      </c>
      <c r="K224" s="22">
        <f>Expenditure!K69</f>
        <v>0</v>
      </c>
      <c r="L224" s="55"/>
      <c r="M224" s="28"/>
      <c r="N224" s="22">
        <f>H224</f>
        <v>0</v>
      </c>
    </row>
    <row r="225" spans="1:14" s="36" customFormat="1" ht="12.75" customHeight="1">
      <c r="A225" s="46"/>
      <c r="B225" s="46"/>
      <c r="C225" s="14"/>
      <c r="E225" s="46" t="s">
        <v>64</v>
      </c>
      <c r="F225" s="42">
        <f>Expenditure!D70</f>
        <v>0</v>
      </c>
      <c r="G225" s="60"/>
      <c r="H225" s="42">
        <f>Expenditure!E70</f>
        <v>0</v>
      </c>
      <c r="I225" s="60"/>
      <c r="J225" s="42">
        <f>Expenditure!G70</f>
        <v>0</v>
      </c>
      <c r="K225" s="22">
        <f>Expenditure!K70</f>
        <v>2000</v>
      </c>
      <c r="L225" s="55"/>
      <c r="M225" s="28"/>
      <c r="N225" s="22">
        <f>K225</f>
        <v>2000</v>
      </c>
    </row>
    <row r="226" spans="1:14" s="36" customFormat="1" ht="12.75" customHeight="1">
      <c r="A226" s="46"/>
      <c r="B226" s="46"/>
      <c r="C226" s="14"/>
      <c r="E226" s="46" t="s">
        <v>197</v>
      </c>
      <c r="F226" s="42">
        <f>Expenditure!D71</f>
        <v>20000</v>
      </c>
      <c r="G226" s="60"/>
      <c r="H226" s="42">
        <f>Expenditure!E71</f>
        <v>20000</v>
      </c>
      <c r="I226" s="60"/>
      <c r="J226" s="42">
        <f>Expenditure!G71</f>
        <v>0</v>
      </c>
      <c r="K226" s="22">
        <f>Expenditure!K71</f>
        <v>8100</v>
      </c>
      <c r="L226" s="55"/>
      <c r="M226" s="28">
        <f aca="true" t="shared" si="13" ref="M226:M234">K226/H226</f>
        <v>0.405</v>
      </c>
      <c r="N226" s="22">
        <f>H226</f>
        <v>20000</v>
      </c>
    </row>
    <row r="227" spans="1:14" s="36" customFormat="1" ht="12.75" customHeight="1">
      <c r="A227" s="46"/>
      <c r="B227" s="46"/>
      <c r="C227" s="14"/>
      <c r="E227" s="46" t="s">
        <v>52</v>
      </c>
      <c r="F227" s="42">
        <f>Expenditure!D72</f>
        <v>0</v>
      </c>
      <c r="G227" s="60"/>
      <c r="H227" s="42">
        <f>Expenditure!E72</f>
        <v>0</v>
      </c>
      <c r="I227" s="60"/>
      <c r="J227" s="42">
        <f>Expenditure!G72</f>
        <v>0</v>
      </c>
      <c r="K227" s="22">
        <f>Expenditure!K72</f>
        <v>89145.05</v>
      </c>
      <c r="L227" s="55"/>
      <c r="M227" s="28"/>
      <c r="N227" s="22">
        <f>K227</f>
        <v>89145.05</v>
      </c>
    </row>
    <row r="228" spans="1:14" s="36" customFormat="1" ht="12.75" customHeight="1">
      <c r="A228" s="46"/>
      <c r="B228" s="46"/>
      <c r="C228" s="14"/>
      <c r="E228" s="46" t="s">
        <v>117</v>
      </c>
      <c r="F228" s="42">
        <f>Expenditure!D73</f>
        <v>104070</v>
      </c>
      <c r="G228" s="60"/>
      <c r="H228" s="42">
        <f>Expenditure!E73</f>
        <v>104070</v>
      </c>
      <c r="I228" s="60"/>
      <c r="J228" s="42">
        <f>Expenditure!G73</f>
        <v>0</v>
      </c>
      <c r="K228" s="22">
        <f>Expenditure!K73</f>
        <v>0</v>
      </c>
      <c r="L228" s="55"/>
      <c r="M228" s="28">
        <f t="shared" si="13"/>
        <v>0</v>
      </c>
      <c r="N228" s="22">
        <f aca="true" t="shared" si="14" ref="N228:N233">H228</f>
        <v>104070</v>
      </c>
    </row>
    <row r="229" spans="1:14" s="36" customFormat="1" ht="12.75" customHeight="1">
      <c r="A229" s="46"/>
      <c r="B229" s="46"/>
      <c r="C229" s="14"/>
      <c r="E229" s="46" t="s">
        <v>72</v>
      </c>
      <c r="F229" s="42">
        <f>Expenditure!D74</f>
        <v>0</v>
      </c>
      <c r="G229" s="60"/>
      <c r="H229" s="42">
        <f>Expenditure!E74</f>
        <v>0</v>
      </c>
      <c r="I229" s="60"/>
      <c r="J229" s="42">
        <f>Expenditure!G74</f>
        <v>0</v>
      </c>
      <c r="K229" s="22">
        <f>Expenditure!K74</f>
        <v>21810.77</v>
      </c>
      <c r="L229" s="55"/>
      <c r="M229" s="28"/>
      <c r="N229" s="22">
        <f>K229</f>
        <v>21810.77</v>
      </c>
    </row>
    <row r="230" spans="1:14" s="36" customFormat="1" ht="12.75" customHeight="1">
      <c r="A230" s="46"/>
      <c r="B230" s="46"/>
      <c r="C230" s="14"/>
      <c r="E230" s="46" t="s">
        <v>73</v>
      </c>
      <c r="F230" s="42">
        <f>Expenditure!D75</f>
        <v>10000</v>
      </c>
      <c r="G230" s="60"/>
      <c r="H230" s="42">
        <f>Expenditure!E75</f>
        <v>10000</v>
      </c>
      <c r="I230" s="60"/>
      <c r="J230" s="42">
        <f>Expenditure!G75</f>
        <v>0</v>
      </c>
      <c r="K230" s="22">
        <f>Expenditure!K75</f>
        <v>13480.5</v>
      </c>
      <c r="L230" s="55"/>
      <c r="M230" s="28">
        <f t="shared" si="13"/>
        <v>1.34805</v>
      </c>
      <c r="N230" s="22">
        <f t="shared" si="14"/>
        <v>10000</v>
      </c>
    </row>
    <row r="231" spans="1:14" s="36" customFormat="1" ht="12.75" customHeight="1">
      <c r="A231" s="46"/>
      <c r="B231" s="46"/>
      <c r="C231" s="14"/>
      <c r="E231" s="46" t="s">
        <v>94</v>
      </c>
      <c r="F231" s="42">
        <f>Expenditure!D76</f>
        <v>0</v>
      </c>
      <c r="G231" s="60"/>
      <c r="H231" s="42">
        <f>Expenditure!E76</f>
        <v>0</v>
      </c>
      <c r="I231" s="60"/>
      <c r="J231" s="42">
        <f>Expenditure!G76</f>
        <v>261.34</v>
      </c>
      <c r="K231" s="22">
        <f>Expenditure!K76</f>
        <v>426.16</v>
      </c>
      <c r="L231" s="55"/>
      <c r="M231" s="28"/>
      <c r="N231" s="22">
        <f>K231</f>
        <v>426.16</v>
      </c>
    </row>
    <row r="232" spans="1:14" s="36" customFormat="1" ht="12.75" customHeight="1">
      <c r="A232" s="46"/>
      <c r="B232" s="46"/>
      <c r="C232" s="14"/>
      <c r="E232" s="46" t="s">
        <v>95</v>
      </c>
      <c r="F232" s="42">
        <f>Expenditure!D77</f>
        <v>113542</v>
      </c>
      <c r="G232" s="60"/>
      <c r="H232" s="42">
        <f>Expenditure!E77</f>
        <v>153542</v>
      </c>
      <c r="I232" s="60"/>
      <c r="J232" s="42">
        <f>Expenditure!G77</f>
        <v>0</v>
      </c>
      <c r="K232" s="22">
        <f>Expenditure!K77</f>
        <v>155612.83</v>
      </c>
      <c r="L232" s="55"/>
      <c r="M232" s="28">
        <f t="shared" si="13"/>
        <v>1.0134870589154759</v>
      </c>
      <c r="N232" s="22">
        <f t="shared" si="14"/>
        <v>153542</v>
      </c>
    </row>
    <row r="233" spans="1:14" s="36" customFormat="1" ht="12.75" customHeight="1">
      <c r="A233" s="46"/>
      <c r="B233" s="46"/>
      <c r="C233" s="14"/>
      <c r="E233" s="46" t="s">
        <v>252</v>
      </c>
      <c r="F233" s="42">
        <f>Expenditure!D78</f>
        <v>100000</v>
      </c>
      <c r="G233" s="60"/>
      <c r="H233" s="42">
        <f>Expenditure!E78</f>
        <v>100000</v>
      </c>
      <c r="I233" s="60"/>
      <c r="J233" s="42">
        <f>Expenditure!G78</f>
        <v>0</v>
      </c>
      <c r="K233" s="22">
        <f>Expenditure!K78</f>
        <v>0</v>
      </c>
      <c r="L233" s="55"/>
      <c r="M233" s="28">
        <f t="shared" si="13"/>
        <v>0</v>
      </c>
      <c r="N233" s="22">
        <f t="shared" si="14"/>
        <v>100000</v>
      </c>
    </row>
    <row r="234" spans="1:14" s="36" customFormat="1" ht="12.75" customHeight="1">
      <c r="A234" s="46"/>
      <c r="B234" s="46"/>
      <c r="C234" s="14"/>
      <c r="E234" s="42" t="s">
        <v>127</v>
      </c>
      <c r="F234" s="42">
        <f>SUM(F224:F233)</f>
        <v>347612</v>
      </c>
      <c r="G234" s="60"/>
      <c r="H234" s="42">
        <f>SUM(H224:H233)</f>
        <v>387612</v>
      </c>
      <c r="I234" s="60"/>
      <c r="J234" s="42">
        <f>SUM(J224:J233)</f>
        <v>261.34</v>
      </c>
      <c r="K234" s="42">
        <f>SUM(K224:K233)</f>
        <v>290575.31</v>
      </c>
      <c r="L234" s="60"/>
      <c r="M234" s="28">
        <f t="shared" si="13"/>
        <v>0.7496550932375674</v>
      </c>
      <c r="N234" s="42">
        <f>SUM(N224:N233)</f>
        <v>500993.98</v>
      </c>
    </row>
    <row r="235" spans="1:14" s="36" customFormat="1" ht="12.75" customHeight="1">
      <c r="A235" s="46"/>
      <c r="B235" s="46"/>
      <c r="C235" s="14"/>
      <c r="E235" s="46"/>
      <c r="F235" s="42"/>
      <c r="G235" s="60"/>
      <c r="H235" s="42"/>
      <c r="I235" s="60"/>
      <c r="J235" s="42"/>
      <c r="K235" s="22"/>
      <c r="L235" s="55"/>
      <c r="M235" s="28"/>
      <c r="N235" s="22"/>
    </row>
    <row r="236" spans="1:14" s="35" customFormat="1" ht="12.75" customHeight="1">
      <c r="A236" s="46"/>
      <c r="B236" s="46"/>
      <c r="E236" s="42" t="s">
        <v>204</v>
      </c>
      <c r="F236" s="42">
        <f>F221-F234</f>
        <v>-249067</v>
      </c>
      <c r="G236" s="60"/>
      <c r="H236" s="42">
        <f>H221-H234</f>
        <v>-289067</v>
      </c>
      <c r="I236" s="60"/>
      <c r="J236" s="42">
        <f>J221-J234</f>
        <v>-261.34</v>
      </c>
      <c r="K236" s="42">
        <f>K221-K234</f>
        <v>-143510.01</v>
      </c>
      <c r="L236" s="60"/>
      <c r="M236" s="42"/>
      <c r="N236" s="42">
        <f>N221-N234</f>
        <v>-353929.68</v>
      </c>
    </row>
    <row r="238" spans="3:14" s="40" customFormat="1" ht="12.75" customHeight="1">
      <c r="C238" s="38"/>
      <c r="E238" s="41"/>
      <c r="F238" s="36"/>
      <c r="G238" s="86"/>
      <c r="I238" s="84"/>
      <c r="K238" s="36"/>
      <c r="L238" s="86"/>
      <c r="M238" s="42"/>
      <c r="N238" s="43" t="s">
        <v>175</v>
      </c>
    </row>
    <row r="239" spans="1:14" s="40" customFormat="1" ht="12.75" customHeight="1">
      <c r="A239" s="39" t="s">
        <v>203</v>
      </c>
      <c r="C239" s="38"/>
      <c r="E239" s="41"/>
      <c r="F239" s="45" t="s">
        <v>201</v>
      </c>
      <c r="G239" s="88"/>
      <c r="I239" s="84"/>
      <c r="K239" s="43" t="s">
        <v>22</v>
      </c>
      <c r="L239" s="87"/>
      <c r="M239" s="42"/>
      <c r="N239" s="44" t="s">
        <v>173</v>
      </c>
    </row>
    <row r="240" spans="3:14" s="40" customFormat="1" ht="12.75" customHeight="1">
      <c r="C240" s="38"/>
      <c r="E240" s="41"/>
      <c r="F240" s="45"/>
      <c r="G240" s="88"/>
      <c r="I240" s="84"/>
      <c r="K240" s="43"/>
      <c r="L240" s="87"/>
      <c r="M240" s="42"/>
      <c r="N240" s="44"/>
    </row>
    <row r="241" spans="1:14" s="36" customFormat="1" ht="12.75" customHeight="1">
      <c r="A241" s="34"/>
      <c r="B241" s="34"/>
      <c r="C241" s="35"/>
      <c r="E241" s="9" t="s">
        <v>168</v>
      </c>
      <c r="F241" s="37">
        <f>F243-F242</f>
        <v>1314517.4</v>
      </c>
      <c r="G241" s="81"/>
      <c r="H241" s="37"/>
      <c r="I241" s="81"/>
      <c r="J241" s="37"/>
      <c r="K241" s="37">
        <f>F243+K236</f>
        <v>1211007.39</v>
      </c>
      <c r="L241" s="81"/>
      <c r="M241" s="37"/>
      <c r="N241" s="37">
        <f>F243+N236</f>
        <v>1000587.72</v>
      </c>
    </row>
    <row r="242" spans="5:14" s="58" customFormat="1" ht="12.75" customHeight="1">
      <c r="E242" s="59" t="s">
        <v>169</v>
      </c>
      <c r="F242" s="60">
        <f>Expenditure!E68-Expenditure!D68</f>
        <v>40000</v>
      </c>
      <c r="G242" s="60"/>
      <c r="H242" s="60"/>
      <c r="I242" s="60"/>
      <c r="J242" s="60"/>
      <c r="K242" s="60">
        <f>Expenditure!H68</f>
        <v>29980.5</v>
      </c>
      <c r="L242" s="60"/>
      <c r="M242" s="60"/>
      <c r="N242" s="60"/>
    </row>
    <row r="243" spans="5:14" s="58" customFormat="1" ht="12.75" customHeight="1">
      <c r="E243" s="59" t="s">
        <v>171</v>
      </c>
      <c r="F243" s="60">
        <v>1354517.4</v>
      </c>
      <c r="G243" s="60"/>
      <c r="H243" s="60"/>
      <c r="I243" s="60"/>
      <c r="J243" s="60"/>
      <c r="K243" s="60">
        <f>K241+K242</f>
        <v>1240987.89</v>
      </c>
      <c r="L243" s="60"/>
      <c r="M243" s="60"/>
      <c r="N243" s="60"/>
    </row>
    <row r="246" spans="1:14" s="36" customFormat="1" ht="12.75" customHeight="1">
      <c r="A246" s="34"/>
      <c r="B246" s="34"/>
      <c r="C246" s="35"/>
      <c r="E246" s="9"/>
      <c r="F246" s="37"/>
      <c r="G246" s="81"/>
      <c r="H246" s="37"/>
      <c r="I246" s="81"/>
      <c r="J246" s="37"/>
      <c r="K246" s="37"/>
      <c r="L246" s="81"/>
      <c r="M246" s="37"/>
      <c r="N246" s="37"/>
    </row>
    <row r="247" spans="1:14" s="10" customFormat="1" ht="12.75" customHeight="1">
      <c r="A247" s="30"/>
      <c r="B247" s="30"/>
      <c r="C247" s="33"/>
      <c r="F247" s="10" t="s">
        <v>17</v>
      </c>
      <c r="G247" s="8"/>
      <c r="H247" s="10" t="s">
        <v>19</v>
      </c>
      <c r="I247" s="8"/>
      <c r="J247" s="10" t="s">
        <v>167</v>
      </c>
      <c r="K247" s="10" t="s">
        <v>20</v>
      </c>
      <c r="L247" s="8"/>
      <c r="M247" s="10" t="s">
        <v>174</v>
      </c>
      <c r="N247" s="10" t="s">
        <v>175</v>
      </c>
    </row>
    <row r="248" spans="1:14" s="10" customFormat="1" ht="12.75" customHeight="1">
      <c r="A248" s="13"/>
      <c r="B248" s="13"/>
      <c r="C248" s="33"/>
      <c r="G248" s="8"/>
      <c r="H248" s="10" t="s">
        <v>172</v>
      </c>
      <c r="I248" s="8"/>
      <c r="J248" s="10" t="s">
        <v>21</v>
      </c>
      <c r="K248" s="10" t="s">
        <v>166</v>
      </c>
      <c r="L248" s="8"/>
      <c r="M248" s="10" t="s">
        <v>181</v>
      </c>
      <c r="N248" s="10" t="s">
        <v>166</v>
      </c>
    </row>
    <row r="249" spans="1:12" s="10" customFormat="1" ht="12.75" customHeight="1">
      <c r="A249" s="47" t="s">
        <v>217</v>
      </c>
      <c r="B249" s="13"/>
      <c r="C249" s="33"/>
      <c r="G249" s="8"/>
      <c r="I249" s="8"/>
      <c r="L249" s="8"/>
    </row>
    <row r="250" spans="2:14" s="36" customFormat="1" ht="12.75" customHeight="1">
      <c r="B250" s="52" t="s">
        <v>233</v>
      </c>
      <c r="E250" s="37"/>
      <c r="F250" s="37"/>
      <c r="G250" s="81"/>
      <c r="H250" s="37"/>
      <c r="I250" s="81"/>
      <c r="J250" s="37"/>
      <c r="K250" s="37"/>
      <c r="L250" s="81"/>
      <c r="M250" s="37"/>
      <c r="N250" s="37"/>
    </row>
    <row r="251" spans="1:14" s="36" customFormat="1" ht="12.75" customHeight="1">
      <c r="A251" s="46"/>
      <c r="B251" s="46"/>
      <c r="C251" s="14" t="s">
        <v>159</v>
      </c>
      <c r="E251" s="37"/>
      <c r="F251" s="42"/>
      <c r="G251" s="60"/>
      <c r="H251" s="42"/>
      <c r="I251" s="60"/>
      <c r="J251" s="42"/>
      <c r="K251" s="42"/>
      <c r="L251" s="60"/>
      <c r="M251" s="28"/>
      <c r="N251" s="22"/>
    </row>
    <row r="252" spans="1:14" s="36" customFormat="1" ht="12.75" customHeight="1">
      <c r="A252" s="46"/>
      <c r="B252" s="46"/>
      <c r="C252" s="14"/>
      <c r="D252" s="46" t="s">
        <v>215</v>
      </c>
      <c r="E252" s="37"/>
      <c r="F252" s="42">
        <f>Revenue!D74</f>
        <v>59593</v>
      </c>
      <c r="G252" s="60"/>
      <c r="H252" s="42">
        <f>Revenue!E74</f>
        <v>59593</v>
      </c>
      <c r="I252" s="60"/>
      <c r="J252" s="42">
        <f>Revenue!G74</f>
        <v>505.43</v>
      </c>
      <c r="K252" s="42">
        <f>Revenue!K74</f>
        <v>63017.58</v>
      </c>
      <c r="L252" s="60"/>
      <c r="M252" s="28">
        <f>K252/H252</f>
        <v>1.0574661453526422</v>
      </c>
      <c r="N252" s="22">
        <f aca="true" t="shared" si="15" ref="N252:N257">H252</f>
        <v>59593</v>
      </c>
    </row>
    <row r="253" spans="1:14" s="36" customFormat="1" ht="12.75" customHeight="1">
      <c r="A253" s="46"/>
      <c r="B253" s="46"/>
      <c r="C253" s="14"/>
      <c r="D253" s="46" t="s">
        <v>216</v>
      </c>
      <c r="E253" s="37"/>
      <c r="F253" s="42">
        <f>Revenue!D80</f>
        <v>270000</v>
      </c>
      <c r="G253" s="60"/>
      <c r="H253" s="42">
        <f>Revenue!E80</f>
        <v>270000</v>
      </c>
      <c r="I253" s="60"/>
      <c r="J253" s="42">
        <f>Revenue!G80</f>
        <v>2807.95</v>
      </c>
      <c r="K253" s="42">
        <f>Revenue!K80</f>
        <v>308984.43</v>
      </c>
      <c r="L253" s="60"/>
      <c r="M253" s="28">
        <f>K253/H253</f>
        <v>1.1443867777777776</v>
      </c>
      <c r="N253" s="22">
        <f t="shared" si="15"/>
        <v>270000</v>
      </c>
    </row>
    <row r="254" spans="1:14" s="36" customFormat="1" ht="12.75" customHeight="1">
      <c r="A254" s="46"/>
      <c r="B254" s="46"/>
      <c r="C254" s="14"/>
      <c r="D254" s="46"/>
      <c r="E254" s="42" t="s">
        <v>127</v>
      </c>
      <c r="F254" s="42">
        <f>SUM(F252:F253)</f>
        <v>329593</v>
      </c>
      <c r="G254" s="60"/>
      <c r="H254" s="42">
        <f>SUM(H252:H253)</f>
        <v>329593</v>
      </c>
      <c r="I254" s="60"/>
      <c r="J254" s="42">
        <f>SUM(J252:J253)</f>
        <v>3313.3799999999997</v>
      </c>
      <c r="K254" s="42">
        <f>SUM(K252:K253)</f>
        <v>372002.01</v>
      </c>
      <c r="L254" s="60"/>
      <c r="M254" s="28">
        <f>K254/H254</f>
        <v>1.1286708455580063</v>
      </c>
      <c r="N254" s="42">
        <f>SUM(N252:N253)</f>
        <v>329593</v>
      </c>
    </row>
    <row r="255" spans="1:14" s="36" customFormat="1" ht="12.75" customHeight="1">
      <c r="A255" s="46"/>
      <c r="B255" s="46"/>
      <c r="C255" s="14" t="s">
        <v>160</v>
      </c>
      <c r="E255" s="37"/>
      <c r="F255" s="42"/>
      <c r="G255" s="60"/>
      <c r="H255" s="42"/>
      <c r="I255" s="60"/>
      <c r="J255" s="42"/>
      <c r="K255" s="42"/>
      <c r="L255" s="60"/>
      <c r="M255" s="28"/>
      <c r="N255" s="22"/>
    </row>
    <row r="256" spans="1:14" s="36" customFormat="1" ht="12.75" customHeight="1">
      <c r="A256" s="46"/>
      <c r="B256" s="46"/>
      <c r="C256" s="14"/>
      <c r="D256" s="46" t="s">
        <v>215</v>
      </c>
      <c r="E256" s="37"/>
      <c r="F256" s="42">
        <f>Expenditure!D46</f>
        <v>125213</v>
      </c>
      <c r="G256" s="60"/>
      <c r="H256" s="42">
        <f>Expenditure!E46</f>
        <v>125213</v>
      </c>
      <c r="I256" s="60"/>
      <c r="J256" s="42">
        <f>Expenditure!G46</f>
        <v>6.79</v>
      </c>
      <c r="K256" s="42">
        <f>Expenditure!K46</f>
        <v>121330.2</v>
      </c>
      <c r="L256" s="60"/>
      <c r="M256" s="28">
        <f>K256/H256</f>
        <v>0.9689904402897462</v>
      </c>
      <c r="N256" s="22">
        <f t="shared" si="15"/>
        <v>125213</v>
      </c>
    </row>
    <row r="257" spans="1:14" s="36" customFormat="1" ht="12.75" customHeight="1">
      <c r="A257" s="46"/>
      <c r="B257" s="46"/>
      <c r="C257" s="14"/>
      <c r="D257" s="46" t="s">
        <v>216</v>
      </c>
      <c r="E257" s="37"/>
      <c r="F257" s="42">
        <f>Expenditure!D47</f>
        <v>400000</v>
      </c>
      <c r="G257" s="60"/>
      <c r="H257" s="42">
        <f>Expenditure!E47</f>
        <v>405460</v>
      </c>
      <c r="I257" s="60"/>
      <c r="J257" s="42">
        <f>Expenditure!G47</f>
        <v>0</v>
      </c>
      <c r="K257" s="42">
        <f>Expenditure!K47</f>
        <v>5460</v>
      </c>
      <c r="L257" s="60"/>
      <c r="M257" s="28">
        <f>K257/H257</f>
        <v>0.013466186553544124</v>
      </c>
      <c r="N257" s="22">
        <f t="shared" si="15"/>
        <v>405460</v>
      </c>
    </row>
    <row r="258" spans="1:14" s="36" customFormat="1" ht="12.75" customHeight="1">
      <c r="A258" s="46"/>
      <c r="B258" s="46"/>
      <c r="C258" s="14"/>
      <c r="D258" s="46"/>
      <c r="E258" s="42" t="s">
        <v>127</v>
      </c>
      <c r="F258" s="66">
        <f>SUM(F256:F257)</f>
        <v>525213</v>
      </c>
      <c r="G258" s="82"/>
      <c r="H258" s="66">
        <f>SUM(H256:H257)</f>
        <v>530673</v>
      </c>
      <c r="I258" s="82"/>
      <c r="J258" s="66">
        <f>SUM(J256:J257)</f>
        <v>6.79</v>
      </c>
      <c r="K258" s="66">
        <f>SUM(K256:K257)</f>
        <v>126790.2</v>
      </c>
      <c r="L258" s="60"/>
      <c r="M258" s="28">
        <f>K258/H258</f>
        <v>0.23892340480861093</v>
      </c>
      <c r="N258" s="42">
        <f>SUM(N256:N257)</f>
        <v>530673</v>
      </c>
    </row>
    <row r="259" spans="1:14" s="35" customFormat="1" ht="12.75" customHeight="1">
      <c r="A259" s="46"/>
      <c r="B259" s="46"/>
      <c r="E259" s="42" t="s">
        <v>179</v>
      </c>
      <c r="F259" s="42">
        <f>F254-F258</f>
        <v>-195620</v>
      </c>
      <c r="G259" s="60"/>
      <c r="H259" s="42">
        <f>H254-H258</f>
        <v>-201080</v>
      </c>
      <c r="I259" s="60"/>
      <c r="J259" s="42">
        <f>J254-J258</f>
        <v>3306.5899999999997</v>
      </c>
      <c r="K259" s="42">
        <f>K254-K258</f>
        <v>245211.81</v>
      </c>
      <c r="L259" s="60"/>
      <c r="M259" s="42"/>
      <c r="N259" s="42">
        <f>N254-N258</f>
        <v>-201080</v>
      </c>
    </row>
    <row r="260" spans="1:14" s="36" customFormat="1" ht="12.75" customHeight="1">
      <c r="A260" s="34"/>
      <c r="B260" s="34"/>
      <c r="C260" s="35"/>
      <c r="E260" s="9" t="s">
        <v>168</v>
      </c>
      <c r="F260" s="37">
        <f>F262-F261</f>
        <v>490354.96</v>
      </c>
      <c r="G260" s="81"/>
      <c r="H260" s="37"/>
      <c r="I260" s="81"/>
      <c r="J260" s="37"/>
      <c r="K260" s="37">
        <f>F262+K259</f>
        <v>741026.77</v>
      </c>
      <c r="L260" s="81"/>
      <c r="M260" s="37"/>
      <c r="N260" s="37"/>
    </row>
    <row r="261" spans="5:14" s="58" customFormat="1" ht="11.25">
      <c r="E261" s="59" t="s">
        <v>169</v>
      </c>
      <c r="F261" s="60">
        <f>Expenditure!E46-Expenditure!D46+Expenditure!E47-Expenditure!D47</f>
        <v>5460</v>
      </c>
      <c r="G261" s="60"/>
      <c r="H261" s="60"/>
      <c r="I261" s="60"/>
      <c r="J261" s="60"/>
      <c r="K261" s="60">
        <f>Expenditure!H46+Expenditure!H47</f>
        <v>0</v>
      </c>
      <c r="L261" s="60"/>
      <c r="M261" s="60"/>
      <c r="N261" s="60"/>
    </row>
    <row r="262" spans="5:14" s="58" customFormat="1" ht="11.25">
      <c r="E262" s="59" t="s">
        <v>171</v>
      </c>
      <c r="F262" s="60">
        <f>84237.38+411577.58</f>
        <v>495814.96</v>
      </c>
      <c r="G262" s="60"/>
      <c r="H262" s="60"/>
      <c r="I262" s="60"/>
      <c r="J262" s="60"/>
      <c r="K262" s="60">
        <f>K260+K261</f>
        <v>741026.77</v>
      </c>
      <c r="L262" s="60"/>
      <c r="M262" s="60"/>
      <c r="N262" s="60"/>
    </row>
    <row r="263" spans="1:14" s="36" customFormat="1" ht="12.75" customHeight="1">
      <c r="A263" s="46"/>
      <c r="B263" s="52" t="s">
        <v>234</v>
      </c>
      <c r="E263" s="37"/>
      <c r="F263" s="37"/>
      <c r="G263" s="81"/>
      <c r="H263" s="37"/>
      <c r="I263" s="81"/>
      <c r="J263" s="37"/>
      <c r="K263" s="37"/>
      <c r="L263" s="81"/>
      <c r="M263" s="37"/>
      <c r="N263" s="37"/>
    </row>
    <row r="264" spans="1:14" s="36" customFormat="1" ht="12.75" customHeight="1">
      <c r="A264" s="46"/>
      <c r="B264" s="46"/>
      <c r="C264" s="14" t="s">
        <v>159</v>
      </c>
      <c r="E264" s="37"/>
      <c r="F264" s="42"/>
      <c r="G264" s="60"/>
      <c r="H264" s="42"/>
      <c r="I264" s="60"/>
      <c r="J264" s="42"/>
      <c r="K264" s="42"/>
      <c r="L264" s="60"/>
      <c r="M264" s="28"/>
      <c r="N264" s="22"/>
    </row>
    <row r="265" spans="1:14" s="36" customFormat="1" ht="12.75" customHeight="1">
      <c r="A265" s="46"/>
      <c r="B265" s="46"/>
      <c r="C265" s="14"/>
      <c r="D265" s="46" t="s">
        <v>219</v>
      </c>
      <c r="E265" s="37"/>
      <c r="F265" s="42">
        <f>Revenue!D93</f>
        <v>0</v>
      </c>
      <c r="G265" s="60"/>
      <c r="H265" s="42">
        <f>Revenue!E93</f>
        <v>0</v>
      </c>
      <c r="I265" s="60"/>
      <c r="J265" s="42">
        <f>Revenue!G93</f>
        <v>0</v>
      </c>
      <c r="K265" s="42">
        <f>Revenue!K93</f>
        <v>0</v>
      </c>
      <c r="L265" s="60"/>
      <c r="M265" s="28"/>
      <c r="N265" s="22">
        <f>H265</f>
        <v>0</v>
      </c>
    </row>
    <row r="266" spans="1:14" s="36" customFormat="1" ht="12.75" customHeight="1">
      <c r="A266" s="46"/>
      <c r="B266" s="46"/>
      <c r="C266" s="14"/>
      <c r="D266" s="46" t="s">
        <v>220</v>
      </c>
      <c r="E266" s="37"/>
      <c r="F266" s="42">
        <f>Revenue!D98</f>
        <v>140000</v>
      </c>
      <c r="G266" s="60"/>
      <c r="H266" s="42">
        <f>Revenue!E98</f>
        <v>140000</v>
      </c>
      <c r="I266" s="60"/>
      <c r="J266" s="42">
        <f>Revenue!G98</f>
        <v>1875.55</v>
      </c>
      <c r="K266" s="42">
        <f>Revenue!K98</f>
        <v>174535.18</v>
      </c>
      <c r="L266" s="60"/>
      <c r="M266" s="28">
        <f>K266/H266</f>
        <v>1.246679857142857</v>
      </c>
      <c r="N266" s="22">
        <f>H266</f>
        <v>140000</v>
      </c>
    </row>
    <row r="267" spans="1:14" s="36" customFormat="1" ht="12.75" customHeight="1">
      <c r="A267" s="46"/>
      <c r="B267" s="46"/>
      <c r="C267" s="14"/>
      <c r="D267" s="46" t="s">
        <v>221</v>
      </c>
      <c r="E267" s="37"/>
      <c r="F267" s="42">
        <f>Revenue!D101</f>
        <v>15000</v>
      </c>
      <c r="G267" s="60"/>
      <c r="H267" s="42">
        <f>Revenue!E101</f>
        <v>15000</v>
      </c>
      <c r="I267" s="60"/>
      <c r="J267" s="42">
        <f>Revenue!G101</f>
        <v>137.62</v>
      </c>
      <c r="K267" s="42">
        <f>Revenue!K101</f>
        <v>15146.54</v>
      </c>
      <c r="L267" s="60"/>
      <c r="M267" s="28">
        <f>K267/H267</f>
        <v>1.0097693333333333</v>
      </c>
      <c r="N267" s="22">
        <f>H267</f>
        <v>15000</v>
      </c>
    </row>
    <row r="268" spans="1:14" s="36" customFormat="1" ht="12.75" customHeight="1">
      <c r="A268" s="46"/>
      <c r="B268" s="46"/>
      <c r="C268" s="14"/>
      <c r="D268" s="46"/>
      <c r="E268" s="42" t="s">
        <v>127</v>
      </c>
      <c r="F268" s="42">
        <f>SUM(F265:F267)</f>
        <v>155000</v>
      </c>
      <c r="G268" s="60"/>
      <c r="H268" s="42">
        <f>SUM(H265:H267)</f>
        <v>155000</v>
      </c>
      <c r="I268" s="60"/>
      <c r="J268" s="42">
        <f>SUM(J265:J267)</f>
        <v>2013.17</v>
      </c>
      <c r="K268" s="42">
        <f>SUM(K265:K267)</f>
        <v>189681.72</v>
      </c>
      <c r="L268" s="60"/>
      <c r="M268" s="28">
        <f>K268/H268</f>
        <v>1.2237530322580645</v>
      </c>
      <c r="N268" s="42">
        <f>SUM(N265:N267)</f>
        <v>155000</v>
      </c>
    </row>
    <row r="269" spans="1:14" s="36" customFormat="1" ht="12.75" customHeight="1">
      <c r="A269" s="46"/>
      <c r="B269" s="46"/>
      <c r="C269" s="14" t="s">
        <v>148</v>
      </c>
      <c r="E269" s="37"/>
      <c r="F269" s="42">
        <f>Revenue!D96</f>
        <v>315000</v>
      </c>
      <c r="G269" s="60"/>
      <c r="H269" s="42">
        <f>Revenue!E96</f>
        <v>315000</v>
      </c>
      <c r="I269" s="60"/>
      <c r="J269" s="42">
        <f>Revenue!G96</f>
        <v>1784.52</v>
      </c>
      <c r="K269" s="42">
        <f>Revenue!K96</f>
        <v>95770.88</v>
      </c>
      <c r="L269" s="60"/>
      <c r="M269" s="28">
        <f>K269/H269</f>
        <v>0.3040345396825397</v>
      </c>
      <c r="N269" s="22">
        <f>H269</f>
        <v>315000</v>
      </c>
    </row>
    <row r="270" spans="1:14" s="36" customFormat="1" ht="12.75" customHeight="1">
      <c r="A270" s="46"/>
      <c r="B270" s="46"/>
      <c r="C270" s="14" t="s">
        <v>160</v>
      </c>
      <c r="E270" s="37"/>
      <c r="F270" s="42"/>
      <c r="G270" s="60"/>
      <c r="H270" s="42"/>
      <c r="I270" s="60"/>
      <c r="J270" s="42"/>
      <c r="K270" s="42"/>
      <c r="L270" s="60"/>
      <c r="M270" s="28"/>
      <c r="N270" s="22"/>
    </row>
    <row r="271" spans="1:14" s="36" customFormat="1" ht="12.75" customHeight="1">
      <c r="A271" s="46"/>
      <c r="B271" s="46"/>
      <c r="C271" s="14"/>
      <c r="D271" s="46" t="s">
        <v>222</v>
      </c>
      <c r="E271" s="37"/>
      <c r="F271" s="42">
        <f>Expenditure!D81</f>
        <v>0</v>
      </c>
      <c r="G271" s="60"/>
      <c r="H271" s="42">
        <f>Expenditure!E81</f>
        <v>0</v>
      </c>
      <c r="I271" s="60"/>
      <c r="J271" s="42">
        <f>Expenditure!G81</f>
        <v>0</v>
      </c>
      <c r="K271" s="42">
        <f>Expenditure!K81</f>
        <v>0</v>
      </c>
      <c r="L271" s="60"/>
      <c r="M271" s="28"/>
      <c r="N271" s="22">
        <f>H271</f>
        <v>0</v>
      </c>
    </row>
    <row r="272" spans="1:14" s="36" customFormat="1" ht="12.75" customHeight="1">
      <c r="A272" s="46"/>
      <c r="B272" s="46"/>
      <c r="C272" s="14"/>
      <c r="D272" s="46" t="s">
        <v>223</v>
      </c>
      <c r="E272" s="37"/>
      <c r="F272" s="42">
        <f>Expenditure!D82</f>
        <v>123461</v>
      </c>
      <c r="G272" s="60"/>
      <c r="H272" s="42">
        <f>Expenditure!E82</f>
        <v>133021</v>
      </c>
      <c r="I272" s="60"/>
      <c r="J272" s="42">
        <f>Expenditure!G82</f>
        <v>0</v>
      </c>
      <c r="K272" s="42">
        <f>Expenditure!K82</f>
        <v>34643.44</v>
      </c>
      <c r="L272" s="60"/>
      <c r="M272" s="28">
        <f>K272/H272</f>
        <v>0.26043587102788285</v>
      </c>
      <c r="N272" s="22">
        <f>H272</f>
        <v>133021</v>
      </c>
    </row>
    <row r="273" spans="1:14" s="36" customFormat="1" ht="12.75" customHeight="1">
      <c r="A273" s="46"/>
      <c r="B273" s="46"/>
      <c r="C273" s="14"/>
      <c r="D273" s="46" t="s">
        <v>224</v>
      </c>
      <c r="E273" s="37"/>
      <c r="F273" s="42">
        <f>Expenditure!D84</f>
        <v>225000</v>
      </c>
      <c r="G273" s="60"/>
      <c r="H273" s="42">
        <f>Expenditure!E84</f>
        <v>237297.87</v>
      </c>
      <c r="I273" s="60"/>
      <c r="J273" s="42">
        <f>Expenditure!G84</f>
        <v>1784.52</v>
      </c>
      <c r="K273" s="42">
        <f>Expenditure!K84</f>
        <v>108068.75</v>
      </c>
      <c r="L273" s="60"/>
      <c r="M273" s="28">
        <f>K273/H273</f>
        <v>0.4554139065807881</v>
      </c>
      <c r="N273" s="22">
        <f>H273</f>
        <v>237297.87</v>
      </c>
    </row>
    <row r="274" spans="1:14" s="36" customFormat="1" ht="12.75" customHeight="1">
      <c r="A274" s="46"/>
      <c r="B274" s="46"/>
      <c r="C274" s="14"/>
      <c r="D274" s="46" t="s">
        <v>225</v>
      </c>
      <c r="E274" s="37"/>
      <c r="F274" s="42">
        <f>Expenditure!D86</f>
        <v>195000</v>
      </c>
      <c r="G274" s="60"/>
      <c r="H274" s="42">
        <f>Expenditure!E86</f>
        <v>204405.5</v>
      </c>
      <c r="I274" s="60"/>
      <c r="J274" s="42">
        <f>Expenditure!G86</f>
        <v>0</v>
      </c>
      <c r="K274" s="42">
        <f>Expenditure!K86</f>
        <v>9405.5</v>
      </c>
      <c r="L274" s="60"/>
      <c r="M274" s="28">
        <f>K274/H274</f>
        <v>0.04601392819664833</v>
      </c>
      <c r="N274" s="22">
        <f>H274</f>
        <v>204405.5</v>
      </c>
    </row>
    <row r="275" spans="1:14" s="36" customFormat="1" ht="12.75" customHeight="1">
      <c r="A275" s="46"/>
      <c r="B275" s="46"/>
      <c r="C275" s="14"/>
      <c r="D275" s="46" t="s">
        <v>226</v>
      </c>
      <c r="E275" s="37"/>
      <c r="F275" s="42">
        <f>Expenditure!D88</f>
        <v>50000</v>
      </c>
      <c r="G275" s="60"/>
      <c r="H275" s="42">
        <f>Expenditure!E88</f>
        <v>61804</v>
      </c>
      <c r="I275" s="60"/>
      <c r="J275" s="42">
        <f>Expenditure!G88</f>
        <v>0</v>
      </c>
      <c r="K275" s="42">
        <f>Expenditure!K88</f>
        <v>11750.09</v>
      </c>
      <c r="L275" s="60"/>
      <c r="M275" s="28">
        <f>K275/H275</f>
        <v>0.19011860073781633</v>
      </c>
      <c r="N275" s="22">
        <f>H275</f>
        <v>61804</v>
      </c>
    </row>
    <row r="276" spans="1:14" s="36" customFormat="1" ht="12.75" customHeight="1">
      <c r="A276" s="46"/>
      <c r="B276" s="46"/>
      <c r="C276" s="14"/>
      <c r="D276" s="46"/>
      <c r="E276" s="42" t="s">
        <v>127</v>
      </c>
      <c r="F276" s="66">
        <f>SUM(F271:F275)</f>
        <v>593461</v>
      </c>
      <c r="G276" s="82"/>
      <c r="H276" s="66">
        <f>SUM(H271:H275)</f>
        <v>636528.37</v>
      </c>
      <c r="I276" s="82"/>
      <c r="J276" s="66">
        <f>SUM(J271:J275)</f>
        <v>1784.52</v>
      </c>
      <c r="K276" s="66">
        <f>SUM(K271:K275)</f>
        <v>163867.78</v>
      </c>
      <c r="L276" s="60"/>
      <c r="M276" s="28">
        <f>K276/H276</f>
        <v>0.25743986870530217</v>
      </c>
      <c r="N276" s="42">
        <f>SUM(N271:N275)</f>
        <v>636528.37</v>
      </c>
    </row>
    <row r="277" spans="1:14" s="35" customFormat="1" ht="12.75" customHeight="1">
      <c r="A277" s="46"/>
      <c r="B277" s="46"/>
      <c r="E277" s="42" t="s">
        <v>180</v>
      </c>
      <c r="F277" s="42">
        <f>F268+F269-F276</f>
        <v>-123461</v>
      </c>
      <c r="G277" s="60"/>
      <c r="H277" s="42">
        <f>H268+H269-H276</f>
        <v>-166528.37</v>
      </c>
      <c r="I277" s="60"/>
      <c r="J277" s="42">
        <f>J268+J269-J276</f>
        <v>2013.17</v>
      </c>
      <c r="K277" s="42">
        <f>K268+K269-K276</f>
        <v>121584.81999999998</v>
      </c>
      <c r="L277" s="60"/>
      <c r="M277" s="67"/>
      <c r="N277" s="42">
        <f>N268+N269-N276</f>
        <v>-166528.37</v>
      </c>
    </row>
    <row r="278" spans="1:14" s="36" customFormat="1" ht="12.75" customHeight="1">
      <c r="A278" s="34"/>
      <c r="B278" s="34"/>
      <c r="C278" s="35"/>
      <c r="E278" s="9" t="s">
        <v>168</v>
      </c>
      <c r="F278" s="37">
        <f>F280-F279</f>
        <v>226894.89</v>
      </c>
      <c r="G278" s="81"/>
      <c r="H278" s="37"/>
      <c r="I278" s="81"/>
      <c r="J278" s="37"/>
      <c r="K278" s="37">
        <f>F280+K277</f>
        <v>391547.07999999996</v>
      </c>
      <c r="L278" s="81"/>
      <c r="M278" s="37"/>
      <c r="N278" s="37"/>
    </row>
    <row r="279" spans="1:14" s="36" customFormat="1" ht="13.5">
      <c r="A279" s="34"/>
      <c r="B279" s="34"/>
      <c r="C279" s="35"/>
      <c r="E279" s="59" t="s">
        <v>169</v>
      </c>
      <c r="F279" s="60">
        <f>Expenditure!E80-Expenditure!D80+Expenditure!E84-Expenditure!D84+Expenditure!E86-Expenditure!D86+Expenditure!E88-Expenditure!D88</f>
        <v>43067.369999999995</v>
      </c>
      <c r="G279" s="60"/>
      <c r="H279" s="60"/>
      <c r="I279" s="60"/>
      <c r="J279" s="60"/>
      <c r="K279" s="60">
        <f>Expenditure!H80+Expenditure!H84+Expenditure!H86+Expenditure!H88</f>
        <v>0</v>
      </c>
      <c r="L279" s="81"/>
      <c r="M279" s="37"/>
      <c r="N279" s="37"/>
    </row>
    <row r="280" spans="5:14" s="58" customFormat="1" ht="11.25">
      <c r="E280" s="59" t="s">
        <v>171</v>
      </c>
      <c r="F280" s="60">
        <f>133021.85+12297.87+68695.88+55946.66</f>
        <v>269962.26</v>
      </c>
      <c r="G280" s="60"/>
      <c r="H280" s="60"/>
      <c r="I280" s="60"/>
      <c r="J280" s="60"/>
      <c r="K280" s="60">
        <f>K278+K279</f>
        <v>391547.07999999996</v>
      </c>
      <c r="L280" s="60"/>
      <c r="M280" s="60"/>
      <c r="N280" s="60"/>
    </row>
    <row r="281" spans="2:14" s="18" customFormat="1" ht="12.75" customHeight="1">
      <c r="B281" s="1" t="s">
        <v>235</v>
      </c>
      <c r="C281" s="33"/>
      <c r="E281" s="26"/>
      <c r="F281" s="23"/>
      <c r="G281" s="55"/>
      <c r="H281" s="23"/>
      <c r="I281" s="55"/>
      <c r="J281" s="23"/>
      <c r="K281" s="23"/>
      <c r="L281" s="55"/>
      <c r="M281" s="12"/>
      <c r="N281" s="22"/>
    </row>
    <row r="282" spans="1:14" s="18" customFormat="1" ht="12.75" customHeight="1">
      <c r="A282" s="31"/>
      <c r="B282" s="31"/>
      <c r="C282" s="14" t="s">
        <v>159</v>
      </c>
      <c r="E282" s="14"/>
      <c r="F282" s="23"/>
      <c r="G282" s="55"/>
      <c r="H282" s="23"/>
      <c r="I282" s="55"/>
      <c r="J282" s="23"/>
      <c r="K282" s="23"/>
      <c r="L282" s="55"/>
      <c r="M282" s="28"/>
      <c r="N282" s="22"/>
    </row>
    <row r="283" spans="1:14" s="18" customFormat="1" ht="12.75" customHeight="1">
      <c r="A283" s="31"/>
      <c r="B283" s="31"/>
      <c r="C283" s="14"/>
      <c r="D283" s="17" t="s">
        <v>227</v>
      </c>
      <c r="E283" s="14"/>
      <c r="F283" s="23">
        <f>Revenue!D107</f>
        <v>335000</v>
      </c>
      <c r="G283" s="55"/>
      <c r="H283" s="23">
        <f>Revenue!E107</f>
        <v>355000</v>
      </c>
      <c r="I283" s="55"/>
      <c r="J283" s="23">
        <f>Revenue!G107</f>
        <v>4479.89</v>
      </c>
      <c r="K283" s="23">
        <f>Revenue!K107</f>
        <v>366373.17</v>
      </c>
      <c r="L283" s="55"/>
      <c r="M283" s="28">
        <f>K283/H283</f>
        <v>1.0320370985915492</v>
      </c>
      <c r="N283" s="22">
        <f>H283</f>
        <v>355000</v>
      </c>
    </row>
    <row r="284" spans="1:14" s="18" customFormat="1" ht="12.75" customHeight="1">
      <c r="A284" s="31"/>
      <c r="B284" s="31"/>
      <c r="C284" s="14"/>
      <c r="D284" s="17" t="s">
        <v>228</v>
      </c>
      <c r="E284" s="14"/>
      <c r="F284" s="23">
        <f>Revenue!D116</f>
        <v>289000</v>
      </c>
      <c r="G284" s="55"/>
      <c r="H284" s="23">
        <f>Revenue!E116</f>
        <v>289000</v>
      </c>
      <c r="I284" s="55"/>
      <c r="J284" s="23">
        <f>Revenue!G116</f>
        <v>3633.05</v>
      </c>
      <c r="K284" s="23">
        <f>Revenue!K116</f>
        <v>276653.08</v>
      </c>
      <c r="L284" s="55"/>
      <c r="M284" s="28">
        <f>K284/H284</f>
        <v>0.9572770934256056</v>
      </c>
      <c r="N284" s="22">
        <f>H284</f>
        <v>289000</v>
      </c>
    </row>
    <row r="285" spans="1:14" s="18" customFormat="1" ht="12.75" customHeight="1">
      <c r="A285" s="31"/>
      <c r="B285" s="31"/>
      <c r="C285" s="14"/>
      <c r="D285" s="17" t="s">
        <v>229</v>
      </c>
      <c r="E285" s="14"/>
      <c r="F285" s="23">
        <f>Revenue!D121</f>
        <v>14000</v>
      </c>
      <c r="G285" s="55"/>
      <c r="H285" s="23">
        <f>Revenue!E121</f>
        <v>14000</v>
      </c>
      <c r="I285" s="55"/>
      <c r="J285" s="23">
        <f>Revenue!G121</f>
        <v>137.66</v>
      </c>
      <c r="K285" s="23">
        <f>Revenue!K121</f>
        <v>15147.3</v>
      </c>
      <c r="L285" s="55"/>
      <c r="M285" s="28">
        <f>K285/H285</f>
        <v>1.08195</v>
      </c>
      <c r="N285" s="22">
        <f>H285</f>
        <v>14000</v>
      </c>
    </row>
    <row r="286" spans="1:14" s="18" customFormat="1" ht="12.75" customHeight="1">
      <c r="A286" s="31"/>
      <c r="B286" s="31"/>
      <c r="C286" s="14"/>
      <c r="D286" s="17" t="s">
        <v>230</v>
      </c>
      <c r="E286" s="14"/>
      <c r="F286" s="23">
        <f>Revenue!D124</f>
        <v>22000</v>
      </c>
      <c r="G286" s="55"/>
      <c r="H286" s="23">
        <f>Revenue!E124</f>
        <v>22000</v>
      </c>
      <c r="I286" s="55"/>
      <c r="J286" s="23">
        <f>Revenue!G124</f>
        <v>180</v>
      </c>
      <c r="K286" s="23">
        <f>Revenue!K124</f>
        <v>18507</v>
      </c>
      <c r="L286" s="55"/>
      <c r="M286" s="28">
        <f>K286/H286</f>
        <v>0.8412272727272727</v>
      </c>
      <c r="N286" s="22">
        <f>H286</f>
        <v>22000</v>
      </c>
    </row>
    <row r="287" spans="1:14" s="18" customFormat="1" ht="12.75" customHeight="1">
      <c r="A287" s="31"/>
      <c r="B287" s="31"/>
      <c r="C287" s="14"/>
      <c r="D287" s="17"/>
      <c r="E287" s="26" t="s">
        <v>127</v>
      </c>
      <c r="F287" s="23">
        <f>SUM(F283:F286)</f>
        <v>660000</v>
      </c>
      <c r="G287" s="55"/>
      <c r="H287" s="23">
        <f>SUM(H283:H286)</f>
        <v>680000</v>
      </c>
      <c r="I287" s="55"/>
      <c r="J287" s="23">
        <f>SUM(J283:J286)</f>
        <v>8430.6</v>
      </c>
      <c r="K287" s="23">
        <f>SUM(K283:K286)</f>
        <v>676680.55</v>
      </c>
      <c r="L287" s="55"/>
      <c r="M287" s="28">
        <f>K287/H287</f>
        <v>0.995118455882353</v>
      </c>
      <c r="N287" s="23">
        <f>SUM(N283:N286)</f>
        <v>680000</v>
      </c>
    </row>
    <row r="288" spans="3:14" ht="12.75" customHeight="1">
      <c r="C288" s="14" t="s">
        <v>160</v>
      </c>
      <c r="F288" s="19"/>
      <c r="G288" s="57"/>
      <c r="H288" s="19"/>
      <c r="I288" s="57"/>
      <c r="J288" s="19"/>
      <c r="K288" s="19"/>
      <c r="L288" s="57"/>
      <c r="M288" s="12"/>
      <c r="N288" s="22"/>
    </row>
    <row r="289" spans="4:14" ht="12.75" customHeight="1">
      <c r="D289" t="s">
        <v>227</v>
      </c>
      <c r="F289" s="19">
        <f>Expenditure!D91</f>
        <v>354362</v>
      </c>
      <c r="G289" s="57"/>
      <c r="H289" s="19">
        <f>Expenditure!E91</f>
        <v>384733.7</v>
      </c>
      <c r="I289" s="57"/>
      <c r="J289" s="19">
        <f>Expenditure!G91</f>
        <v>29353.18</v>
      </c>
      <c r="K289" s="19">
        <f>Expenditure!K91</f>
        <v>369052.33999999997</v>
      </c>
      <c r="L289" s="57"/>
      <c r="M289" s="28">
        <f>K289/H289</f>
        <v>0.9592410022828777</v>
      </c>
      <c r="N289" s="22">
        <f>H289</f>
        <v>384733.7</v>
      </c>
    </row>
    <row r="290" spans="4:14" ht="12.75" customHeight="1">
      <c r="D290" s="4" t="s">
        <v>228</v>
      </c>
      <c r="F290" s="19">
        <f>Expenditure!D92</f>
        <v>277301</v>
      </c>
      <c r="G290" s="57"/>
      <c r="H290" s="19">
        <f>Expenditure!E92</f>
        <v>293388.61</v>
      </c>
      <c r="I290" s="57"/>
      <c r="J290" s="19">
        <f>Expenditure!G92</f>
        <v>8258.02</v>
      </c>
      <c r="K290" s="19">
        <f>Expenditure!K92</f>
        <v>282592.37</v>
      </c>
      <c r="L290" s="57"/>
      <c r="M290" s="28">
        <f>K290/H290</f>
        <v>0.9632015707767252</v>
      </c>
      <c r="N290" s="22">
        <f>H290</f>
        <v>293388.61</v>
      </c>
    </row>
    <row r="291" spans="4:14" ht="12.75" customHeight="1">
      <c r="D291" s="4" t="s">
        <v>231</v>
      </c>
      <c r="F291" s="19">
        <f>Expenditure!D93</f>
        <v>20000</v>
      </c>
      <c r="G291" s="57"/>
      <c r="H291" s="19">
        <f>Expenditure!E93</f>
        <v>20000</v>
      </c>
      <c r="I291" s="57"/>
      <c r="J291" s="19">
        <f>Expenditure!G93</f>
        <v>0</v>
      </c>
      <c r="K291" s="19">
        <f>Expenditure!K93</f>
        <v>2287.13</v>
      </c>
      <c r="L291" s="57"/>
      <c r="M291" s="28">
        <f>K291/H291</f>
        <v>0.1143565</v>
      </c>
      <c r="N291" s="22">
        <f>H291</f>
        <v>20000</v>
      </c>
    </row>
    <row r="292" spans="4:14" ht="12.75" customHeight="1">
      <c r="D292" t="s">
        <v>230</v>
      </c>
      <c r="F292" s="19">
        <f>Expenditure!D94</f>
        <v>27830</v>
      </c>
      <c r="G292" s="57"/>
      <c r="H292" s="19">
        <f>Expenditure!E94</f>
        <v>30554.23</v>
      </c>
      <c r="I292" s="57"/>
      <c r="J292" s="19">
        <f>Expenditure!G94</f>
        <v>570</v>
      </c>
      <c r="K292" s="19">
        <f>Expenditure!K94</f>
        <v>20234.27</v>
      </c>
      <c r="L292" s="57"/>
      <c r="M292" s="28">
        <f>K292/H292</f>
        <v>0.6622412019546885</v>
      </c>
      <c r="N292" s="22">
        <f>H292</f>
        <v>30554.23</v>
      </c>
    </row>
    <row r="293" spans="5:14" ht="12.75" customHeight="1">
      <c r="E293" s="12" t="s">
        <v>127</v>
      </c>
      <c r="F293" s="65">
        <f>SUM(F289:F292)</f>
        <v>679493</v>
      </c>
      <c r="G293" s="80"/>
      <c r="H293" s="65">
        <f>SUM(H289:H292)</f>
        <v>728676.54</v>
      </c>
      <c r="I293" s="80"/>
      <c r="J293" s="65">
        <f>SUM(J289:J292)</f>
        <v>38181.2</v>
      </c>
      <c r="K293" s="65">
        <f>SUM(K289:K292)</f>
        <v>674166.11</v>
      </c>
      <c r="L293" s="57"/>
      <c r="M293" s="28">
        <f>K293/H293</f>
        <v>0.9251925552591551</v>
      </c>
      <c r="N293" s="19">
        <f>SUM(N289:N292)</f>
        <v>728676.54</v>
      </c>
    </row>
    <row r="294" spans="1:14" s="14" customFormat="1" ht="12.75" customHeight="1">
      <c r="A294" s="32"/>
      <c r="B294" s="32"/>
      <c r="E294" s="26" t="s">
        <v>183</v>
      </c>
      <c r="F294" s="42">
        <f>F287-F293</f>
        <v>-19493</v>
      </c>
      <c r="G294" s="60"/>
      <c r="H294" s="42">
        <f>H287-H293</f>
        <v>-48676.54000000004</v>
      </c>
      <c r="I294" s="60"/>
      <c r="J294" s="42">
        <f>J287-J293</f>
        <v>-29750.6</v>
      </c>
      <c r="K294" s="42">
        <f>K287-K293</f>
        <v>2514.4400000000605</v>
      </c>
      <c r="L294" s="60"/>
      <c r="M294" s="67"/>
      <c r="N294" s="42">
        <f>N287-N293</f>
        <v>-48676.54000000004</v>
      </c>
    </row>
    <row r="295" spans="1:14" s="1" customFormat="1" ht="12.75" customHeight="1">
      <c r="A295" s="13"/>
      <c r="B295" s="13"/>
      <c r="E295" s="9" t="s">
        <v>168</v>
      </c>
      <c r="F295" s="37">
        <f>F297-F296</f>
        <v>53526.149999999965</v>
      </c>
      <c r="G295" s="81"/>
      <c r="H295" s="37"/>
      <c r="I295" s="81"/>
      <c r="J295" s="37"/>
      <c r="K295" s="37">
        <f>F297+K294</f>
        <v>105224.13000000006</v>
      </c>
      <c r="L295" s="81"/>
      <c r="M295" s="29"/>
      <c r="N295" s="37"/>
    </row>
    <row r="296" spans="1:14" s="1" customFormat="1" ht="13.5">
      <c r="A296" s="13"/>
      <c r="B296" s="13"/>
      <c r="E296" s="59" t="s">
        <v>169</v>
      </c>
      <c r="F296" s="60">
        <f>Expenditure!E90-Expenditure!D90</f>
        <v>49183.54000000004</v>
      </c>
      <c r="G296" s="60"/>
      <c r="H296" s="60"/>
      <c r="I296" s="60"/>
      <c r="J296" s="60"/>
      <c r="K296" s="60">
        <f>Expenditure!H90</f>
        <v>21697.899999999998</v>
      </c>
      <c r="L296" s="81"/>
      <c r="M296" s="29"/>
      <c r="N296" s="37"/>
    </row>
    <row r="297" spans="1:14" s="1" customFormat="1" ht="13.5">
      <c r="A297" s="13"/>
      <c r="B297" s="13"/>
      <c r="E297" s="59" t="s">
        <v>171</v>
      </c>
      <c r="F297" s="60">
        <f>39975.47+38208.25+15943.87+8582.1</f>
        <v>102709.69</v>
      </c>
      <c r="G297" s="60"/>
      <c r="H297" s="60"/>
      <c r="I297" s="60"/>
      <c r="J297" s="60"/>
      <c r="K297" s="60">
        <f>K295+K296</f>
        <v>126922.03000000006</v>
      </c>
      <c r="L297" s="81"/>
      <c r="M297" s="29"/>
      <c r="N297" s="37"/>
    </row>
    <row r="298" spans="1:14" s="1" customFormat="1" ht="12.75" customHeight="1">
      <c r="A298" s="13"/>
      <c r="B298" s="13"/>
      <c r="E298" s="9"/>
      <c r="F298" s="37"/>
      <c r="G298" s="81"/>
      <c r="H298" s="37"/>
      <c r="I298" s="81"/>
      <c r="J298" s="37"/>
      <c r="K298" s="37"/>
      <c r="L298" s="81"/>
      <c r="M298" s="29"/>
      <c r="N298" s="37"/>
    </row>
    <row r="299" spans="3:14" s="58" customFormat="1" ht="11.25">
      <c r="C299" s="63"/>
      <c r="E299" s="60" t="s">
        <v>165</v>
      </c>
      <c r="F299" s="60">
        <f>F259+F277+F294</f>
        <v>-338574</v>
      </c>
      <c r="G299" s="60"/>
      <c r="H299" s="60">
        <f>H259+H277+H294</f>
        <v>-416284.91000000003</v>
      </c>
      <c r="I299" s="60"/>
      <c r="J299" s="60">
        <f>J259+J277+J294</f>
        <v>-24430.839999999997</v>
      </c>
      <c r="K299" s="60">
        <f>K259+K277+K294</f>
        <v>369311.07000000007</v>
      </c>
      <c r="L299" s="60"/>
      <c r="M299" s="60"/>
      <c r="N299" s="60">
        <f>N259+N277+N294</f>
        <v>-416284.91000000003</v>
      </c>
    </row>
    <row r="300" spans="3:14" s="58" customFormat="1" ht="11.25">
      <c r="C300" s="63"/>
      <c r="E300" s="60"/>
      <c r="F300" s="60"/>
      <c r="G300" s="60"/>
      <c r="H300" s="60"/>
      <c r="I300" s="60"/>
      <c r="J300" s="60"/>
      <c r="K300" s="60"/>
      <c r="L300" s="60"/>
      <c r="M300" s="60"/>
      <c r="N300" s="60"/>
    </row>
    <row r="301" spans="1:14" s="40" customFormat="1" ht="12.75" customHeight="1">
      <c r="A301" s="39" t="s">
        <v>205</v>
      </c>
      <c r="C301" s="38"/>
      <c r="E301" s="41"/>
      <c r="F301" s="45" t="s">
        <v>201</v>
      </c>
      <c r="G301" s="88"/>
      <c r="I301" s="84"/>
      <c r="K301" s="43" t="s">
        <v>22</v>
      </c>
      <c r="L301" s="87"/>
      <c r="M301" s="42"/>
      <c r="N301" s="44" t="s">
        <v>173</v>
      </c>
    </row>
    <row r="302" spans="1:14" s="10" customFormat="1" ht="12.75" customHeight="1">
      <c r="A302" s="30"/>
      <c r="B302" s="30"/>
      <c r="C302" s="17"/>
      <c r="D302" s="27"/>
      <c r="E302" s="9" t="s">
        <v>168</v>
      </c>
      <c r="F302" s="24">
        <f>F304-F303</f>
        <v>770775.9999999999</v>
      </c>
      <c r="G302" s="79"/>
      <c r="H302" s="24"/>
      <c r="I302" s="79"/>
      <c r="J302" s="24"/>
      <c r="K302" s="24">
        <f>F304+K299</f>
        <v>1237797.98</v>
      </c>
      <c r="L302" s="79"/>
      <c r="M302" s="29"/>
      <c r="N302" s="24">
        <f>F304+N299</f>
        <v>452201.9999999999</v>
      </c>
    </row>
    <row r="303" spans="3:14" s="3" customFormat="1" ht="12.75" customHeight="1">
      <c r="C303" s="16"/>
      <c r="D303" s="62"/>
      <c r="E303" s="59" t="s">
        <v>169</v>
      </c>
      <c r="F303" s="55">
        <f>F261+F279+F296</f>
        <v>97710.91000000003</v>
      </c>
      <c r="G303" s="55"/>
      <c r="H303" s="55"/>
      <c r="I303" s="55"/>
      <c r="J303" s="55"/>
      <c r="K303" s="55">
        <f>K261+K279+K296</f>
        <v>21697.899999999998</v>
      </c>
      <c r="L303" s="55"/>
      <c r="M303" s="59"/>
      <c r="N303" s="55"/>
    </row>
    <row r="304" spans="5:14" s="4" customFormat="1" ht="12.75" customHeight="1">
      <c r="E304" s="59" t="s">
        <v>171</v>
      </c>
      <c r="F304" s="55">
        <f>F262+F280+F297</f>
        <v>868486.9099999999</v>
      </c>
      <c r="G304" s="55"/>
      <c r="K304" s="57">
        <f>K302+K303</f>
        <v>1259495.88</v>
      </c>
      <c r="L304" s="57"/>
      <c r="M304" s="59"/>
      <c r="N304" s="59"/>
    </row>
  </sheetData>
  <printOptions/>
  <pageMargins left="0.75" right="0.25" top="0" bottom="0" header="0" footer="0"/>
  <pageSetup horizontalDpi="600" verticalDpi="600" orientation="portrait" r:id="rId1"/>
  <headerFooter alignWithMargins="0">
    <oddHeader xml:space="preserve">&amp;L&amp;6
&amp;F&amp;C&amp;"Arial,Bold"&amp;16VILLAGE OF GLENDALE
&amp;11All Funds Summary 2008&amp;RStatus on &amp;"Arial,Bold"Dec 31, 2008&amp;"Arial,Regular"
YTD=100% </oddHeader>
    <oddFooter>&amp;R&amp;8
</oddFooter>
  </headerFooter>
  <rowBreaks count="4" manualBreakCount="4">
    <brk id="126" max="255" man="1"/>
    <brk id="183" max="255" man="1"/>
    <brk id="213" max="255" man="1"/>
    <brk id="2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55"/>
  <sheetViews>
    <sheetView workbookViewId="0" topLeftCell="A1">
      <pane ySplit="756" topLeftCell="BM73" activePane="bottomLeft" state="split"/>
      <selection pane="topLeft" activeCell="K3" sqref="K3"/>
      <selection pane="bottomLeft" activeCell="D87" sqref="D87"/>
    </sheetView>
  </sheetViews>
  <sheetFormatPr defaultColWidth="9.140625" defaultRowHeight="12.75"/>
  <cols>
    <col min="1" max="2" width="4.7109375" style="4" customWidth="1"/>
    <col min="3" max="3" width="22.7109375" style="4" customWidth="1"/>
    <col min="4" max="6" width="13.28125" style="6" customWidth="1"/>
    <col min="7" max="7" width="11.421875" style="6" customWidth="1"/>
    <col min="8" max="8" width="10.421875" style="6" customWidth="1"/>
    <col min="9" max="9" width="13.28125" style="6" customWidth="1"/>
    <col min="10" max="10" width="8.8515625" style="4" customWidth="1"/>
    <col min="11" max="11" width="12.28125" style="4" bestFit="1" customWidth="1"/>
    <col min="12" max="16384" width="8.8515625" style="4" customWidth="1"/>
  </cols>
  <sheetData>
    <row r="1" spans="3:11" s="3" customFormat="1" ht="12.75">
      <c r="C1" s="10" t="s">
        <v>124</v>
      </c>
      <c r="D1" s="7" t="s">
        <v>17</v>
      </c>
      <c r="E1" s="7" t="s">
        <v>19</v>
      </c>
      <c r="F1" s="7" t="s">
        <v>20</v>
      </c>
      <c r="G1" s="7" t="s">
        <v>22</v>
      </c>
      <c r="H1" s="7" t="s">
        <v>20</v>
      </c>
      <c r="I1" s="7" t="s">
        <v>27</v>
      </c>
      <c r="K1" s="7" t="s">
        <v>20</v>
      </c>
    </row>
    <row r="2" spans="3:11" s="3" customFormat="1" ht="12.75">
      <c r="C2" s="10" t="s">
        <v>214</v>
      </c>
      <c r="D2" s="7" t="s">
        <v>18</v>
      </c>
      <c r="E2" s="7" t="s">
        <v>18</v>
      </c>
      <c r="F2" s="7" t="s">
        <v>21</v>
      </c>
      <c r="G2" s="7" t="s">
        <v>23</v>
      </c>
      <c r="H2" s="7" t="s">
        <v>24</v>
      </c>
      <c r="I2" s="7" t="s">
        <v>28</v>
      </c>
      <c r="K2" s="7" t="s">
        <v>166</v>
      </c>
    </row>
    <row r="3" spans="3:9" s="3" customFormat="1" ht="12.75">
      <c r="C3" s="10"/>
      <c r="D3" s="7"/>
      <c r="E3" s="7"/>
      <c r="F3" s="7"/>
      <c r="G3" s="7"/>
      <c r="H3" s="7"/>
      <c r="I3" s="7"/>
    </row>
    <row r="4" spans="3:9" s="3" customFormat="1" ht="12.75">
      <c r="C4" s="10"/>
      <c r="D4" s="7"/>
      <c r="E4" s="7"/>
      <c r="F4" s="7"/>
      <c r="G4" s="7"/>
      <c r="H4" s="7"/>
      <c r="I4" s="7"/>
    </row>
    <row r="5" spans="3:9" s="3" customFormat="1" ht="12.75">
      <c r="C5" s="10"/>
      <c r="D5" s="7"/>
      <c r="E5" s="7"/>
      <c r="F5" s="7"/>
      <c r="G5" s="7"/>
      <c r="H5" s="7"/>
      <c r="I5" s="7"/>
    </row>
    <row r="6" spans="3:9" s="3" customFormat="1" ht="12.75">
      <c r="C6" s="10"/>
      <c r="D6" s="7"/>
      <c r="E6" s="7"/>
      <c r="F6" s="7"/>
      <c r="G6" s="7"/>
      <c r="H6" s="7"/>
      <c r="I6" s="7"/>
    </row>
    <row r="7" spans="1:2" ht="12">
      <c r="A7" s="5" t="s">
        <v>61</v>
      </c>
      <c r="B7" s="5"/>
    </row>
    <row r="8" spans="1:11" s="1" customFormat="1" ht="12.75">
      <c r="A8" s="1">
        <v>100</v>
      </c>
      <c r="C8" s="1" t="s">
        <v>16</v>
      </c>
      <c r="D8" s="2">
        <f aca="true" t="shared" si="0" ref="D8:I8">SUM(D9:D31)</f>
        <v>2451341</v>
      </c>
      <c r="E8" s="2">
        <f t="shared" si="0"/>
        <v>2451341</v>
      </c>
      <c r="F8" s="2">
        <f t="shared" si="0"/>
        <v>2550290.860000001</v>
      </c>
      <c r="G8" s="2">
        <f t="shared" si="0"/>
        <v>33814.78</v>
      </c>
      <c r="H8" s="2">
        <f t="shared" si="0"/>
        <v>0</v>
      </c>
      <c r="I8" s="2">
        <f t="shared" si="0"/>
        <v>98949.85999999999</v>
      </c>
      <c r="K8" s="2">
        <f>F8+H8</f>
        <v>2550290.860000001</v>
      </c>
    </row>
    <row r="9" spans="2:11" ht="12.75">
      <c r="B9" s="4">
        <v>1110</v>
      </c>
      <c r="C9" s="4" t="s">
        <v>137</v>
      </c>
      <c r="D9" s="6">
        <v>1789284</v>
      </c>
      <c r="E9" s="6">
        <v>1789284</v>
      </c>
      <c r="F9" s="6">
        <v>1794152.24</v>
      </c>
      <c r="G9" s="6">
        <v>0</v>
      </c>
      <c r="H9" s="6">
        <v>0</v>
      </c>
      <c r="I9" s="6">
        <f>F9-E9</f>
        <v>4868.239999999991</v>
      </c>
      <c r="K9" s="2">
        <f aca="true" t="shared" si="1" ref="K9:K31">F9+H9</f>
        <v>1794152.24</v>
      </c>
    </row>
    <row r="10" spans="2:11" ht="12.75">
      <c r="B10" s="4">
        <v>1120</v>
      </c>
      <c r="C10" s="4" t="s">
        <v>138</v>
      </c>
      <c r="D10" s="6">
        <v>5550</v>
      </c>
      <c r="E10" s="6">
        <v>5550</v>
      </c>
      <c r="F10" s="6">
        <v>38698.22</v>
      </c>
      <c r="G10" s="6">
        <v>18544.87</v>
      </c>
      <c r="H10" s="6">
        <v>0</v>
      </c>
      <c r="I10" s="6">
        <f aca="true" t="shared" si="2" ref="I10:I31">F10-E10</f>
        <v>33148.22</v>
      </c>
      <c r="K10" s="2">
        <f t="shared" si="1"/>
        <v>38698.22</v>
      </c>
    </row>
    <row r="11" spans="2:11" ht="12.75">
      <c r="B11" s="4">
        <v>1210</v>
      </c>
      <c r="C11" s="4" t="s">
        <v>0</v>
      </c>
      <c r="D11" s="6">
        <v>66610</v>
      </c>
      <c r="E11" s="6">
        <v>66610</v>
      </c>
      <c r="F11" s="6">
        <v>53242.59</v>
      </c>
      <c r="G11" s="6">
        <v>4156.96</v>
      </c>
      <c r="H11" s="6">
        <v>0</v>
      </c>
      <c r="I11" s="6">
        <f t="shared" si="2"/>
        <v>-13367.410000000003</v>
      </c>
      <c r="K11" s="2">
        <f t="shared" si="1"/>
        <v>53242.59</v>
      </c>
    </row>
    <row r="12" spans="2:11" ht="12.75">
      <c r="B12" s="4">
        <v>1220</v>
      </c>
      <c r="C12" s="4" t="s">
        <v>1</v>
      </c>
      <c r="D12" s="6">
        <v>0</v>
      </c>
      <c r="E12" s="6">
        <v>0</v>
      </c>
      <c r="F12" s="6">
        <v>176397.86</v>
      </c>
      <c r="G12" s="6">
        <v>0</v>
      </c>
      <c r="H12" s="6">
        <v>0</v>
      </c>
      <c r="I12" s="6">
        <f t="shared" si="2"/>
        <v>176397.86</v>
      </c>
      <c r="K12" s="2">
        <f t="shared" si="1"/>
        <v>176397.86</v>
      </c>
    </row>
    <row r="13" spans="2:11" ht="12.75">
      <c r="B13" s="4">
        <v>1230</v>
      </c>
      <c r="C13" s="4" t="s">
        <v>2</v>
      </c>
      <c r="D13" s="6">
        <v>0</v>
      </c>
      <c r="E13" s="6">
        <v>0</v>
      </c>
      <c r="F13" s="6">
        <v>18.56</v>
      </c>
      <c r="G13" s="6">
        <v>0</v>
      </c>
      <c r="H13" s="6">
        <v>0</v>
      </c>
      <c r="I13" s="6">
        <f t="shared" si="2"/>
        <v>18.56</v>
      </c>
      <c r="K13" s="2">
        <f t="shared" si="1"/>
        <v>18.56</v>
      </c>
    </row>
    <row r="14" spans="2:11" ht="12.75">
      <c r="B14" s="4">
        <v>1250</v>
      </c>
      <c r="C14" s="4" t="s">
        <v>3</v>
      </c>
      <c r="D14" s="6">
        <v>5200</v>
      </c>
      <c r="E14" s="6">
        <v>5200</v>
      </c>
      <c r="F14" s="6">
        <v>3479.7</v>
      </c>
      <c r="G14" s="6">
        <v>0</v>
      </c>
      <c r="H14" s="6">
        <v>0</v>
      </c>
      <c r="I14" s="6">
        <f t="shared" si="2"/>
        <v>-1720.3000000000002</v>
      </c>
      <c r="K14" s="2">
        <f t="shared" si="1"/>
        <v>3479.7</v>
      </c>
    </row>
    <row r="15" spans="2:11" ht="12.75">
      <c r="B15" s="4">
        <v>1270</v>
      </c>
      <c r="C15" s="4" t="s">
        <v>158</v>
      </c>
      <c r="D15" s="6">
        <v>8850</v>
      </c>
      <c r="E15" s="6">
        <v>8850</v>
      </c>
      <c r="F15" s="6">
        <v>13682.83</v>
      </c>
      <c r="G15" s="6">
        <v>0</v>
      </c>
      <c r="H15" s="6">
        <v>0</v>
      </c>
      <c r="I15" s="6">
        <f t="shared" si="2"/>
        <v>4832.83</v>
      </c>
      <c r="K15" s="2">
        <f t="shared" si="1"/>
        <v>13682.83</v>
      </c>
    </row>
    <row r="16" spans="2:11" ht="12.75">
      <c r="B16" s="4">
        <v>1280</v>
      </c>
      <c r="C16" s="4" t="s">
        <v>26</v>
      </c>
      <c r="D16" s="6">
        <v>52202</v>
      </c>
      <c r="E16" s="6">
        <v>52202</v>
      </c>
      <c r="F16" s="6">
        <v>27315.28</v>
      </c>
      <c r="G16" s="6">
        <v>0</v>
      </c>
      <c r="H16" s="6">
        <v>0</v>
      </c>
      <c r="I16" s="6">
        <f t="shared" si="2"/>
        <v>-24886.72</v>
      </c>
      <c r="K16" s="2">
        <f t="shared" si="1"/>
        <v>27315.28</v>
      </c>
    </row>
    <row r="17" spans="2:11" ht="12.75">
      <c r="B17" s="4">
        <v>1281</v>
      </c>
      <c r="C17" s="4" t="s">
        <v>4</v>
      </c>
      <c r="D17" s="6">
        <v>11640</v>
      </c>
      <c r="E17" s="6">
        <v>11640</v>
      </c>
      <c r="F17" s="6">
        <v>12315.95</v>
      </c>
      <c r="G17" s="6">
        <v>0</v>
      </c>
      <c r="H17" s="6">
        <v>0</v>
      </c>
      <c r="I17" s="6">
        <f t="shared" si="2"/>
        <v>675.9500000000007</v>
      </c>
      <c r="K17" s="2">
        <f t="shared" si="1"/>
        <v>12315.95</v>
      </c>
    </row>
    <row r="18" spans="2:11" ht="12.75">
      <c r="B18" s="4">
        <v>1285</v>
      </c>
      <c r="C18" s="4" t="s">
        <v>59</v>
      </c>
      <c r="D18" s="6">
        <v>261355</v>
      </c>
      <c r="E18" s="6">
        <v>261355</v>
      </c>
      <c r="F18" s="6">
        <v>260463.69</v>
      </c>
      <c r="G18" s="6">
        <v>0</v>
      </c>
      <c r="H18" s="6">
        <v>0</v>
      </c>
      <c r="I18" s="6">
        <f t="shared" si="2"/>
        <v>-891.3099999999977</v>
      </c>
      <c r="K18" s="2">
        <f t="shared" si="1"/>
        <v>260463.69</v>
      </c>
    </row>
    <row r="19" spans="2:11" ht="12.75">
      <c r="B19" s="4">
        <v>1490</v>
      </c>
      <c r="C19" s="4" t="s">
        <v>255</v>
      </c>
      <c r="D19" s="6">
        <v>0</v>
      </c>
      <c r="E19" s="6">
        <v>0</v>
      </c>
      <c r="F19" s="6">
        <v>297.5</v>
      </c>
      <c r="G19" s="6">
        <v>0</v>
      </c>
      <c r="H19" s="6">
        <v>0</v>
      </c>
      <c r="I19" s="6">
        <f t="shared" si="2"/>
        <v>297.5</v>
      </c>
      <c r="K19" s="2">
        <f t="shared" si="1"/>
        <v>297.5</v>
      </c>
    </row>
    <row r="20" spans="2:11" ht="12.75">
      <c r="B20" s="4">
        <v>1590</v>
      </c>
      <c r="C20" s="4" t="s">
        <v>5</v>
      </c>
      <c r="D20" s="6">
        <v>5000</v>
      </c>
      <c r="E20" s="6">
        <v>5000</v>
      </c>
      <c r="F20" s="6">
        <v>3060</v>
      </c>
      <c r="G20" s="6">
        <v>290</v>
      </c>
      <c r="H20" s="6">
        <v>0</v>
      </c>
      <c r="I20" s="6">
        <f t="shared" si="2"/>
        <v>-1940</v>
      </c>
      <c r="K20" s="2">
        <f t="shared" si="1"/>
        <v>3060</v>
      </c>
    </row>
    <row r="21" spans="2:11" ht="12.75">
      <c r="B21" s="4">
        <v>1591</v>
      </c>
      <c r="C21" s="4" t="s">
        <v>6</v>
      </c>
      <c r="D21" s="6">
        <v>2200</v>
      </c>
      <c r="E21" s="6">
        <v>2200</v>
      </c>
      <c r="F21" s="6">
        <v>1025</v>
      </c>
      <c r="G21" s="6">
        <v>0</v>
      </c>
      <c r="H21" s="6">
        <v>0</v>
      </c>
      <c r="I21" s="6">
        <f t="shared" si="2"/>
        <v>-1175</v>
      </c>
      <c r="K21" s="2">
        <f t="shared" si="1"/>
        <v>1025</v>
      </c>
    </row>
    <row r="22" spans="2:11" ht="12.75">
      <c r="B22" s="4">
        <v>1612</v>
      </c>
      <c r="C22" s="4" t="s">
        <v>7</v>
      </c>
      <c r="D22" s="6">
        <v>47000</v>
      </c>
      <c r="E22" s="6">
        <v>47000</v>
      </c>
      <c r="F22" s="6">
        <v>38627</v>
      </c>
      <c r="G22" s="6">
        <v>2065</v>
      </c>
      <c r="H22" s="6">
        <v>0</v>
      </c>
      <c r="I22" s="6">
        <f t="shared" si="2"/>
        <v>-8373</v>
      </c>
      <c r="K22" s="2">
        <f t="shared" si="1"/>
        <v>38627</v>
      </c>
    </row>
    <row r="23" spans="2:11" ht="12.75">
      <c r="B23" s="4">
        <v>1615</v>
      </c>
      <c r="C23" s="4" t="s">
        <v>25</v>
      </c>
      <c r="D23" s="6">
        <v>13000</v>
      </c>
      <c r="E23" s="6">
        <v>13000</v>
      </c>
      <c r="F23" s="6">
        <v>10742</v>
      </c>
      <c r="G23" s="6">
        <v>590</v>
      </c>
      <c r="H23" s="6">
        <v>0</v>
      </c>
      <c r="I23" s="6">
        <f t="shared" si="2"/>
        <v>-2258</v>
      </c>
      <c r="K23" s="2">
        <f t="shared" si="1"/>
        <v>10742</v>
      </c>
    </row>
    <row r="24" spans="2:11" ht="12.75">
      <c r="B24" s="4">
        <v>1629</v>
      </c>
      <c r="C24" s="4" t="s">
        <v>8</v>
      </c>
      <c r="D24" s="6">
        <v>350</v>
      </c>
      <c r="E24" s="6">
        <v>350</v>
      </c>
      <c r="F24" s="6">
        <v>210</v>
      </c>
      <c r="G24" s="6">
        <v>0</v>
      </c>
      <c r="H24" s="6">
        <v>0</v>
      </c>
      <c r="I24" s="6">
        <f t="shared" si="2"/>
        <v>-140</v>
      </c>
      <c r="K24" s="2">
        <f t="shared" si="1"/>
        <v>210</v>
      </c>
    </row>
    <row r="25" spans="2:11" ht="12.75">
      <c r="B25" s="4">
        <v>1699</v>
      </c>
      <c r="C25" s="4" t="s">
        <v>9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f t="shared" si="2"/>
        <v>0</v>
      </c>
      <c r="K25" s="2">
        <f t="shared" si="1"/>
        <v>0</v>
      </c>
    </row>
    <row r="26" spans="2:11" ht="12.75">
      <c r="B26" s="4">
        <v>1810</v>
      </c>
      <c r="C26" s="4" t="s">
        <v>10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f t="shared" si="2"/>
        <v>0</v>
      </c>
      <c r="K26" s="2">
        <f t="shared" si="1"/>
        <v>0</v>
      </c>
    </row>
    <row r="27" spans="2:11" ht="12.75">
      <c r="B27" s="4">
        <v>1820</v>
      </c>
      <c r="C27" s="4" t="s">
        <v>11</v>
      </c>
      <c r="D27" s="6">
        <v>140000</v>
      </c>
      <c r="E27" s="6">
        <v>140000</v>
      </c>
      <c r="F27" s="6">
        <v>69945.87</v>
      </c>
      <c r="G27" s="6">
        <v>7064.6</v>
      </c>
      <c r="H27" s="6">
        <v>0</v>
      </c>
      <c r="I27" s="6">
        <f t="shared" si="2"/>
        <v>-70054.13</v>
      </c>
      <c r="K27" s="2">
        <f t="shared" si="1"/>
        <v>69945.87</v>
      </c>
    </row>
    <row r="28" spans="2:11" ht="12.75">
      <c r="B28" s="4">
        <v>1828</v>
      </c>
      <c r="C28" s="4" t="s">
        <v>12</v>
      </c>
      <c r="D28" s="6">
        <v>13000</v>
      </c>
      <c r="E28" s="6">
        <v>13000</v>
      </c>
      <c r="F28" s="6">
        <f>15300.35</f>
        <v>15300.35</v>
      </c>
      <c r="G28" s="6">
        <v>1103.35</v>
      </c>
      <c r="H28" s="6">
        <v>0</v>
      </c>
      <c r="I28" s="6">
        <f t="shared" si="2"/>
        <v>2300.3500000000004</v>
      </c>
      <c r="K28" s="2">
        <f t="shared" si="1"/>
        <v>15300.35</v>
      </c>
    </row>
    <row r="29" spans="2:11" ht="12.75">
      <c r="B29" s="4">
        <v>1840</v>
      </c>
      <c r="C29" s="4" t="s">
        <v>13</v>
      </c>
      <c r="D29" s="6">
        <v>30000</v>
      </c>
      <c r="E29" s="6">
        <v>30000</v>
      </c>
      <c r="F29" s="6">
        <v>30724.5</v>
      </c>
      <c r="G29" s="6">
        <v>0</v>
      </c>
      <c r="H29" s="6">
        <v>0</v>
      </c>
      <c r="I29" s="6">
        <f t="shared" si="2"/>
        <v>724.5</v>
      </c>
      <c r="K29" s="2">
        <f t="shared" si="1"/>
        <v>30724.5</v>
      </c>
    </row>
    <row r="30" spans="2:11" ht="12.75">
      <c r="B30" s="4">
        <v>1841</v>
      </c>
      <c r="C30" s="4" t="s">
        <v>14</v>
      </c>
      <c r="D30" s="6">
        <v>100</v>
      </c>
      <c r="E30" s="6">
        <v>100</v>
      </c>
      <c r="F30" s="6">
        <v>30</v>
      </c>
      <c r="G30" s="6">
        <v>0</v>
      </c>
      <c r="H30" s="6">
        <v>0</v>
      </c>
      <c r="I30" s="6">
        <f t="shared" si="2"/>
        <v>-70</v>
      </c>
      <c r="K30" s="2">
        <f t="shared" si="1"/>
        <v>30</v>
      </c>
    </row>
    <row r="31" spans="2:11" ht="12.75">
      <c r="B31" s="4">
        <v>1844</v>
      </c>
      <c r="C31" s="4" t="s">
        <v>15</v>
      </c>
      <c r="D31" s="6">
        <v>0</v>
      </c>
      <c r="E31" s="6">
        <v>0</v>
      </c>
      <c r="F31" s="6">
        <v>561.72</v>
      </c>
      <c r="G31" s="6">
        <v>0</v>
      </c>
      <c r="H31" s="6">
        <v>0</v>
      </c>
      <c r="I31" s="6">
        <f t="shared" si="2"/>
        <v>561.72</v>
      </c>
      <c r="K31" s="2">
        <f t="shared" si="1"/>
        <v>561.72</v>
      </c>
    </row>
    <row r="34" spans="1:11" s="1" customFormat="1" ht="12.75">
      <c r="A34" s="1">
        <v>200</v>
      </c>
      <c r="C34" s="1" t="s">
        <v>29</v>
      </c>
      <c r="D34" s="2">
        <f>D35+D41+D47+D49+D51+D53+D57+D60+D64+D67+D69</f>
        <v>193416</v>
      </c>
      <c r="E34" s="2">
        <f>E35+E41+E47+E49+E51+E53+E57+E60+E64+E67+E69</f>
        <v>193416</v>
      </c>
      <c r="F34" s="2">
        <f>F35+F41+F47+F49+F51+F53+F57+F60+F64+F67+F69</f>
        <v>203099.30000000002</v>
      </c>
      <c r="G34" s="2">
        <f>G35+G41+G47+G49+G51+G53+G57+G60+G64+G67+G69</f>
        <v>16179.109999999999</v>
      </c>
      <c r="H34" s="2">
        <f>H35+H41+H47+H49+H51+H53+H57+H60+H64+H67+H69</f>
        <v>0</v>
      </c>
      <c r="I34" s="2">
        <f aca="true" t="shared" si="3" ref="I34:I65">F34-E34</f>
        <v>9683.300000000017</v>
      </c>
      <c r="K34" s="2">
        <f>K35+K41+K47+K49+K51+K53+K57+K60+K64+K67+K69</f>
        <v>203099.30000000002</v>
      </c>
    </row>
    <row r="35" spans="1:11" s="14" customFormat="1" ht="12.75">
      <c r="A35" s="14">
        <v>201</v>
      </c>
      <c r="C35" s="14" t="s">
        <v>30</v>
      </c>
      <c r="D35" s="15">
        <f>SUM(D36:D40)</f>
        <v>138234</v>
      </c>
      <c r="E35" s="15">
        <f>SUM(E36:E40)</f>
        <v>138234</v>
      </c>
      <c r="F35" s="15">
        <f>SUM(F36:F40)</f>
        <v>147556.15000000002</v>
      </c>
      <c r="G35" s="15">
        <f>SUM(G36:G40)</f>
        <v>8330.8</v>
      </c>
      <c r="H35" s="15">
        <f>SUM(H36:H40)</f>
        <v>0</v>
      </c>
      <c r="I35" s="15">
        <f t="shared" si="3"/>
        <v>9322.150000000023</v>
      </c>
      <c r="K35" s="2">
        <f aca="true" t="shared" si="4" ref="K35:K70">F35+H35</f>
        <v>147556.15000000002</v>
      </c>
    </row>
    <row r="36" spans="2:11" s="1" customFormat="1" ht="12.75">
      <c r="B36" s="4">
        <v>1240</v>
      </c>
      <c r="C36" s="16" t="s">
        <v>128</v>
      </c>
      <c r="D36" s="6">
        <v>17000</v>
      </c>
      <c r="E36" s="6">
        <v>17000</v>
      </c>
      <c r="F36" s="6">
        <v>18105.7</v>
      </c>
      <c r="G36" s="6">
        <v>1014.46</v>
      </c>
      <c r="H36" s="6">
        <v>0</v>
      </c>
      <c r="I36" s="6">
        <f t="shared" si="3"/>
        <v>1105.7000000000007</v>
      </c>
      <c r="K36" s="2">
        <f t="shared" si="4"/>
        <v>18105.7</v>
      </c>
    </row>
    <row r="37" spans="2:11" s="1" customFormat="1" ht="12.75">
      <c r="B37" s="4">
        <v>1260</v>
      </c>
      <c r="C37" s="16" t="s">
        <v>132</v>
      </c>
      <c r="D37" s="6">
        <v>45000</v>
      </c>
      <c r="E37" s="6">
        <v>45000</v>
      </c>
      <c r="F37" s="6">
        <v>53838.99</v>
      </c>
      <c r="G37" s="6">
        <v>4632.42</v>
      </c>
      <c r="H37" s="6">
        <v>0</v>
      </c>
      <c r="I37" s="6">
        <f t="shared" si="3"/>
        <v>8838.989999999998</v>
      </c>
      <c r="K37" s="2">
        <f t="shared" si="4"/>
        <v>53838.99</v>
      </c>
    </row>
    <row r="38" spans="2:11" s="1" customFormat="1" ht="12.75">
      <c r="B38" s="4">
        <v>1290</v>
      </c>
      <c r="C38" s="16" t="s">
        <v>129</v>
      </c>
      <c r="D38" s="6">
        <v>28000</v>
      </c>
      <c r="E38" s="6">
        <v>28000</v>
      </c>
      <c r="F38" s="6">
        <v>27203.07</v>
      </c>
      <c r="G38" s="6">
        <v>2509.53</v>
      </c>
      <c r="H38" s="6">
        <v>0</v>
      </c>
      <c r="I38" s="6">
        <f t="shared" si="3"/>
        <v>-796.9300000000003</v>
      </c>
      <c r="K38" s="2">
        <f t="shared" si="4"/>
        <v>27203.07</v>
      </c>
    </row>
    <row r="39" spans="2:11" s="1" customFormat="1" ht="12.75">
      <c r="B39" s="4">
        <v>1820</v>
      </c>
      <c r="C39" s="16" t="s">
        <v>146</v>
      </c>
      <c r="D39" s="6">
        <v>0</v>
      </c>
      <c r="E39" s="6">
        <v>0</v>
      </c>
      <c r="F39" s="6">
        <v>174.39</v>
      </c>
      <c r="G39" s="6">
        <v>174.39</v>
      </c>
      <c r="H39" s="6">
        <v>0</v>
      </c>
      <c r="I39" s="6">
        <f t="shared" si="3"/>
        <v>174.39</v>
      </c>
      <c r="K39" s="2">
        <f t="shared" si="4"/>
        <v>174.39</v>
      </c>
    </row>
    <row r="40" spans="2:11" s="1" customFormat="1" ht="12.75">
      <c r="B40" s="4">
        <v>1844</v>
      </c>
      <c r="C40" s="4" t="s">
        <v>236</v>
      </c>
      <c r="D40" s="6">
        <v>48234</v>
      </c>
      <c r="E40" s="6">
        <v>48234</v>
      </c>
      <c r="F40" s="6">
        <v>48234</v>
      </c>
      <c r="G40" s="6">
        <v>0</v>
      </c>
      <c r="H40" s="6">
        <v>0</v>
      </c>
      <c r="I40" s="6">
        <f t="shared" si="3"/>
        <v>0</v>
      </c>
      <c r="K40" s="2">
        <f t="shared" si="4"/>
        <v>48234</v>
      </c>
    </row>
    <row r="41" spans="1:11" s="14" customFormat="1" ht="12.75">
      <c r="A41" s="14">
        <v>202</v>
      </c>
      <c r="C41" s="14" t="s">
        <v>31</v>
      </c>
      <c r="D41" s="15">
        <f>SUM(D42:D46)</f>
        <v>7000</v>
      </c>
      <c r="E41" s="15">
        <f>SUM(E42:E46)</f>
        <v>7000</v>
      </c>
      <c r="F41" s="15">
        <f>SUM(F42:F46)</f>
        <v>8061.04</v>
      </c>
      <c r="G41" s="15">
        <f>SUM(G42:G46)</f>
        <v>683.36</v>
      </c>
      <c r="H41" s="15">
        <f>SUM(H42:H46)</f>
        <v>0</v>
      </c>
      <c r="I41" s="15">
        <f t="shared" si="3"/>
        <v>1061.04</v>
      </c>
      <c r="K41" s="2">
        <f t="shared" si="4"/>
        <v>8061.04</v>
      </c>
    </row>
    <row r="42" spans="2:11" ht="12.75">
      <c r="B42" s="4">
        <v>1240</v>
      </c>
      <c r="C42" s="16" t="s">
        <v>128</v>
      </c>
      <c r="D42" s="6">
        <v>1550</v>
      </c>
      <c r="E42" s="6">
        <v>1550</v>
      </c>
      <c r="F42" s="6">
        <v>1468.03</v>
      </c>
      <c r="G42" s="6">
        <v>82.25</v>
      </c>
      <c r="H42" s="6">
        <v>0</v>
      </c>
      <c r="I42" s="6">
        <f t="shared" si="3"/>
        <v>-81.97000000000003</v>
      </c>
      <c r="K42" s="2">
        <f t="shared" si="4"/>
        <v>1468.03</v>
      </c>
    </row>
    <row r="43" spans="2:11" ht="12.75">
      <c r="B43" s="4">
        <v>1260</v>
      </c>
      <c r="C43" s="16" t="s">
        <v>132</v>
      </c>
      <c r="D43" s="6">
        <v>3200</v>
      </c>
      <c r="E43" s="6">
        <v>3200</v>
      </c>
      <c r="F43" s="6">
        <v>4365.31</v>
      </c>
      <c r="G43" s="6">
        <v>375.6</v>
      </c>
      <c r="H43" s="6">
        <v>0</v>
      </c>
      <c r="I43" s="6">
        <f t="shared" si="3"/>
        <v>1165.3100000000004</v>
      </c>
      <c r="K43" s="2">
        <f t="shared" si="4"/>
        <v>4365.31</v>
      </c>
    </row>
    <row r="44" spans="2:11" ht="12.75">
      <c r="B44" s="4">
        <v>1290</v>
      </c>
      <c r="C44" s="16" t="s">
        <v>129</v>
      </c>
      <c r="D44" s="6">
        <v>2250</v>
      </c>
      <c r="E44" s="6">
        <v>2250</v>
      </c>
      <c r="F44" s="6">
        <v>2205.67</v>
      </c>
      <c r="G44" s="6">
        <v>203.48</v>
      </c>
      <c r="H44" s="6">
        <v>0</v>
      </c>
      <c r="I44" s="6">
        <f t="shared" si="3"/>
        <v>-44.32999999999993</v>
      </c>
      <c r="K44" s="2">
        <f t="shared" si="4"/>
        <v>2205.67</v>
      </c>
    </row>
    <row r="45" spans="2:11" ht="12.75">
      <c r="B45" s="4">
        <v>1820</v>
      </c>
      <c r="C45" s="16" t="s">
        <v>146</v>
      </c>
      <c r="D45" s="6">
        <v>0</v>
      </c>
      <c r="E45" s="6">
        <v>0</v>
      </c>
      <c r="F45" s="6">
        <v>22.03</v>
      </c>
      <c r="G45" s="6">
        <v>22.03</v>
      </c>
      <c r="H45" s="6">
        <v>0</v>
      </c>
      <c r="I45" s="6">
        <f t="shared" si="3"/>
        <v>22.03</v>
      </c>
      <c r="K45" s="2">
        <f t="shared" si="4"/>
        <v>22.03</v>
      </c>
    </row>
    <row r="46" spans="2:11" ht="12.75">
      <c r="B46" s="4">
        <v>1844</v>
      </c>
      <c r="C46" s="4" t="s">
        <v>15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f t="shared" si="3"/>
        <v>0</v>
      </c>
      <c r="K46" s="2">
        <f t="shared" si="4"/>
        <v>0</v>
      </c>
    </row>
    <row r="47" spans="1:11" ht="12.75">
      <c r="A47" s="4">
        <v>204</v>
      </c>
      <c r="C47" s="4" t="s">
        <v>170</v>
      </c>
      <c r="D47" s="6">
        <f>SUM(D48)</f>
        <v>2382</v>
      </c>
      <c r="E47" s="6">
        <f>SUM(E48)</f>
        <v>2382</v>
      </c>
      <c r="F47" s="6">
        <f>SUM(F48)</f>
        <v>5170</v>
      </c>
      <c r="G47" s="6">
        <f>SUM(G48)</f>
        <v>2788</v>
      </c>
      <c r="H47" s="6">
        <f>SUM(H48)</f>
        <v>0</v>
      </c>
      <c r="I47" s="15">
        <f t="shared" si="3"/>
        <v>2788</v>
      </c>
      <c r="K47" s="2">
        <f t="shared" si="4"/>
        <v>5170</v>
      </c>
    </row>
    <row r="48" spans="2:11" ht="12.75">
      <c r="B48" s="4">
        <v>1490</v>
      </c>
      <c r="C48" s="4" t="s">
        <v>139</v>
      </c>
      <c r="D48" s="6">
        <v>2382</v>
      </c>
      <c r="E48" s="6">
        <v>2382</v>
      </c>
      <c r="F48" s="6">
        <v>5170</v>
      </c>
      <c r="G48" s="6">
        <v>2788</v>
      </c>
      <c r="H48" s="6">
        <v>0</v>
      </c>
      <c r="I48" s="6">
        <f t="shared" si="3"/>
        <v>2788</v>
      </c>
      <c r="K48" s="2">
        <f t="shared" si="4"/>
        <v>5170</v>
      </c>
    </row>
    <row r="49" spans="1:11" s="14" customFormat="1" ht="12.75">
      <c r="A49" s="14">
        <v>207</v>
      </c>
      <c r="C49" s="17" t="s">
        <v>32</v>
      </c>
      <c r="D49" s="15">
        <f>SUM(D50)</f>
        <v>100</v>
      </c>
      <c r="E49" s="15">
        <f>SUM(E50)</f>
        <v>100</v>
      </c>
      <c r="F49" s="15">
        <f>SUM(F50)</f>
        <v>0</v>
      </c>
      <c r="G49" s="15">
        <f>SUM(G50)</f>
        <v>0</v>
      </c>
      <c r="H49" s="15">
        <f>SUM(H50)</f>
        <v>0</v>
      </c>
      <c r="I49" s="15">
        <f t="shared" si="3"/>
        <v>-100</v>
      </c>
      <c r="K49" s="2">
        <f t="shared" si="4"/>
        <v>0</v>
      </c>
    </row>
    <row r="50" spans="2:11" s="14" customFormat="1" ht="12.75">
      <c r="B50" s="4">
        <v>1619</v>
      </c>
      <c r="C50" s="16" t="s">
        <v>133</v>
      </c>
      <c r="D50" s="15">
        <v>100</v>
      </c>
      <c r="E50" s="15">
        <v>100</v>
      </c>
      <c r="F50" s="15">
        <v>0</v>
      </c>
      <c r="G50" s="15">
        <v>0</v>
      </c>
      <c r="H50" s="15">
        <v>0</v>
      </c>
      <c r="I50" s="15">
        <f t="shared" si="3"/>
        <v>-100</v>
      </c>
      <c r="K50" s="2">
        <f t="shared" si="4"/>
        <v>0</v>
      </c>
    </row>
    <row r="51" spans="1:11" s="14" customFormat="1" ht="12.75">
      <c r="A51" s="14">
        <v>208</v>
      </c>
      <c r="C51" s="17" t="s">
        <v>43</v>
      </c>
      <c r="D51" s="15">
        <f>SUM(D52)</f>
        <v>100</v>
      </c>
      <c r="E51" s="15">
        <f>SUM(E52)</f>
        <v>100</v>
      </c>
      <c r="F51" s="15">
        <f>SUM(F52)</f>
        <v>0</v>
      </c>
      <c r="G51" s="15">
        <f>SUM(G52)</f>
        <v>0</v>
      </c>
      <c r="H51" s="15">
        <f>SUM(H52)</f>
        <v>0</v>
      </c>
      <c r="I51" s="15">
        <f t="shared" si="3"/>
        <v>-100</v>
      </c>
      <c r="K51" s="2">
        <f t="shared" si="4"/>
        <v>0</v>
      </c>
    </row>
    <row r="52" spans="2:11" s="14" customFormat="1" ht="12.75">
      <c r="B52" s="4">
        <v>1619</v>
      </c>
      <c r="C52" s="16" t="s">
        <v>133</v>
      </c>
      <c r="D52" s="15">
        <v>100</v>
      </c>
      <c r="E52" s="15">
        <v>100</v>
      </c>
      <c r="F52" s="15">
        <v>0</v>
      </c>
      <c r="G52" s="15">
        <v>0</v>
      </c>
      <c r="H52" s="15">
        <v>0</v>
      </c>
      <c r="I52" s="15">
        <f t="shared" si="3"/>
        <v>-100</v>
      </c>
      <c r="K52" s="2">
        <f t="shared" si="4"/>
        <v>0</v>
      </c>
    </row>
    <row r="53" spans="1:11" s="14" customFormat="1" ht="12.75">
      <c r="A53" s="14">
        <v>209</v>
      </c>
      <c r="C53" s="17" t="s">
        <v>33</v>
      </c>
      <c r="D53" s="15">
        <f>SUM(D54:D56)</f>
        <v>18000</v>
      </c>
      <c r="E53" s="15">
        <f>SUM(E54:E56)</f>
        <v>18000</v>
      </c>
      <c r="F53" s="15">
        <f>SUM(F54:F56)</f>
        <v>18148.739999999998</v>
      </c>
      <c r="G53" s="15">
        <f>SUM(G54:G56)</f>
        <v>1295.62</v>
      </c>
      <c r="H53" s="15">
        <f>SUM(H54:H56)</f>
        <v>0</v>
      </c>
      <c r="I53" s="15">
        <f t="shared" si="3"/>
        <v>148.73999999999796</v>
      </c>
      <c r="K53" s="2">
        <f t="shared" si="4"/>
        <v>18148.739999999998</v>
      </c>
    </row>
    <row r="54" spans="2:11" s="14" customFormat="1" ht="12.75">
      <c r="B54" s="4">
        <v>1240</v>
      </c>
      <c r="C54" s="16" t="s">
        <v>128</v>
      </c>
      <c r="D54" s="15">
        <v>18000</v>
      </c>
      <c r="E54" s="15">
        <v>18000</v>
      </c>
      <c r="F54" s="15">
        <v>18116.87</v>
      </c>
      <c r="G54" s="15">
        <v>1263.75</v>
      </c>
      <c r="H54" s="15">
        <v>0</v>
      </c>
      <c r="I54" s="15">
        <f t="shared" si="3"/>
        <v>116.86999999999898</v>
      </c>
      <c r="K54" s="2">
        <f t="shared" si="4"/>
        <v>18116.87</v>
      </c>
    </row>
    <row r="55" spans="2:11" s="14" customFormat="1" ht="12.75">
      <c r="B55" s="4">
        <v>1820</v>
      </c>
      <c r="C55" s="16" t="s">
        <v>146</v>
      </c>
      <c r="D55" s="15">
        <v>0</v>
      </c>
      <c r="E55" s="15">
        <v>0</v>
      </c>
      <c r="F55" s="15">
        <v>31.87</v>
      </c>
      <c r="G55" s="15">
        <v>31.87</v>
      </c>
      <c r="H55" s="15">
        <v>0</v>
      </c>
      <c r="I55" s="15">
        <f t="shared" si="3"/>
        <v>31.87</v>
      </c>
      <c r="K55" s="2">
        <f t="shared" si="4"/>
        <v>31.87</v>
      </c>
    </row>
    <row r="56" spans="2:11" s="14" customFormat="1" ht="12.75">
      <c r="B56" s="4">
        <v>1844</v>
      </c>
      <c r="C56" s="4" t="s">
        <v>15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f>F56-E56</f>
        <v>0</v>
      </c>
      <c r="K56" s="2">
        <f t="shared" si="4"/>
        <v>0</v>
      </c>
    </row>
    <row r="57" spans="1:11" s="14" customFormat="1" ht="12.75">
      <c r="A57" s="14">
        <v>211</v>
      </c>
      <c r="C57" s="14" t="s">
        <v>34</v>
      </c>
      <c r="D57" s="15">
        <f>SUM(D58:D59)</f>
        <v>2000</v>
      </c>
      <c r="E57" s="15">
        <f>SUM(E58:E59)</f>
        <v>2000</v>
      </c>
      <c r="F57" s="15">
        <f>SUM(F58:F59)</f>
        <v>1300</v>
      </c>
      <c r="G57" s="15">
        <f>SUM(G58:G59)</f>
        <v>300</v>
      </c>
      <c r="H57" s="15">
        <f>SUM(H58:H59)</f>
        <v>0</v>
      </c>
      <c r="I57" s="15">
        <f t="shared" si="3"/>
        <v>-700</v>
      </c>
      <c r="K57" s="2">
        <f t="shared" si="4"/>
        <v>1300</v>
      </c>
    </row>
    <row r="58" spans="2:11" ht="12.75">
      <c r="B58" s="4">
        <v>1830</v>
      </c>
      <c r="C58" s="16" t="s">
        <v>130</v>
      </c>
      <c r="D58" s="6">
        <v>2000</v>
      </c>
      <c r="E58" s="6">
        <v>2000</v>
      </c>
      <c r="F58" s="6">
        <v>1300</v>
      </c>
      <c r="G58" s="6">
        <v>300</v>
      </c>
      <c r="H58" s="6">
        <v>0</v>
      </c>
      <c r="I58" s="15">
        <f t="shared" si="3"/>
        <v>-700</v>
      </c>
      <c r="K58" s="2">
        <f t="shared" si="4"/>
        <v>1300</v>
      </c>
    </row>
    <row r="59" spans="2:11" ht="12.75">
      <c r="B59" s="4">
        <v>1911</v>
      </c>
      <c r="C59" s="16" t="s">
        <v>134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15">
        <f t="shared" si="3"/>
        <v>0</v>
      </c>
      <c r="K59" s="2">
        <f t="shared" si="4"/>
        <v>0</v>
      </c>
    </row>
    <row r="60" spans="1:11" s="14" customFormat="1" ht="12.75">
      <c r="A60" s="14">
        <v>212</v>
      </c>
      <c r="C60" s="14" t="s">
        <v>35</v>
      </c>
      <c r="D60" s="15">
        <f>SUM(D61:D63)</f>
        <v>2000</v>
      </c>
      <c r="E60" s="15">
        <f>SUM(E61:E63)</f>
        <v>2000</v>
      </c>
      <c r="F60" s="15">
        <f>SUM(F61:F63)</f>
        <v>2180</v>
      </c>
      <c r="G60" s="15">
        <f>SUM(G61:G63)</f>
        <v>1400</v>
      </c>
      <c r="H60" s="15">
        <f>SUM(H61:H63)</f>
        <v>0</v>
      </c>
      <c r="I60" s="15">
        <f t="shared" si="3"/>
        <v>180</v>
      </c>
      <c r="K60" s="2">
        <f t="shared" si="4"/>
        <v>2180</v>
      </c>
    </row>
    <row r="61" spans="2:11" ht="12.75">
      <c r="B61" s="4">
        <v>1828</v>
      </c>
      <c r="C61" s="4" t="s">
        <v>135</v>
      </c>
      <c r="D61" s="6">
        <v>0</v>
      </c>
      <c r="E61" s="6">
        <v>0</v>
      </c>
      <c r="F61" s="6">
        <v>900</v>
      </c>
      <c r="G61" s="6">
        <v>900</v>
      </c>
      <c r="H61" s="6">
        <v>0</v>
      </c>
      <c r="I61" s="6">
        <f>F61-E61</f>
        <v>900</v>
      </c>
      <c r="K61" s="2">
        <f>F61+H61</f>
        <v>900</v>
      </c>
    </row>
    <row r="62" spans="2:11" ht="12.75">
      <c r="B62" s="4">
        <v>1830</v>
      </c>
      <c r="C62" s="16" t="s">
        <v>130</v>
      </c>
      <c r="D62" s="6">
        <v>2000</v>
      </c>
      <c r="E62" s="6">
        <v>2000</v>
      </c>
      <c r="F62" s="6">
        <v>1280</v>
      </c>
      <c r="G62" s="6">
        <v>500</v>
      </c>
      <c r="H62" s="6">
        <v>0</v>
      </c>
      <c r="I62" s="6">
        <f t="shared" si="3"/>
        <v>-720</v>
      </c>
      <c r="K62" s="2">
        <f t="shared" si="4"/>
        <v>1280</v>
      </c>
    </row>
    <row r="63" spans="2:11" ht="12.75">
      <c r="B63" s="4">
        <v>1911</v>
      </c>
      <c r="C63" s="16" t="s">
        <v>134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f t="shared" si="3"/>
        <v>0</v>
      </c>
      <c r="K63" s="2">
        <f t="shared" si="4"/>
        <v>0</v>
      </c>
    </row>
    <row r="64" spans="1:11" s="14" customFormat="1" ht="12.75">
      <c r="A64" s="14">
        <v>213</v>
      </c>
      <c r="C64" s="14" t="s">
        <v>36</v>
      </c>
      <c r="D64" s="15">
        <f>SUM(D65:D66)</f>
        <v>6000</v>
      </c>
      <c r="E64" s="15">
        <f>SUM(E65:E66)</f>
        <v>6000</v>
      </c>
      <c r="F64" s="15">
        <f>SUM(F65:F66)</f>
        <v>2750.41</v>
      </c>
      <c r="G64" s="15">
        <f>SUM(G65:G66)</f>
        <v>0</v>
      </c>
      <c r="H64" s="15">
        <f>SUM(H65:H66)</f>
        <v>0</v>
      </c>
      <c r="I64" s="15">
        <f>F64-E64</f>
        <v>-3249.59</v>
      </c>
      <c r="K64" s="2">
        <f t="shared" si="4"/>
        <v>2750.41</v>
      </c>
    </row>
    <row r="65" spans="2:11" ht="12.75">
      <c r="B65" s="4">
        <v>1619</v>
      </c>
      <c r="C65" s="16" t="s">
        <v>133</v>
      </c>
      <c r="D65" s="6">
        <v>200</v>
      </c>
      <c r="E65" s="6">
        <v>200</v>
      </c>
      <c r="F65" s="6">
        <v>50</v>
      </c>
      <c r="G65" s="6">
        <v>0</v>
      </c>
      <c r="H65" s="6">
        <v>0</v>
      </c>
      <c r="I65" s="6">
        <f t="shared" si="3"/>
        <v>-150</v>
      </c>
      <c r="K65" s="2">
        <f t="shared" si="4"/>
        <v>50</v>
      </c>
    </row>
    <row r="66" spans="2:11" ht="12.75">
      <c r="B66" s="4">
        <v>1828</v>
      </c>
      <c r="C66" s="16" t="s">
        <v>135</v>
      </c>
      <c r="D66" s="6">
        <v>5800</v>
      </c>
      <c r="E66" s="6">
        <v>5800</v>
      </c>
      <c r="F66" s="6">
        <v>2700.41</v>
      </c>
      <c r="G66" s="6">
        <v>0</v>
      </c>
      <c r="H66" s="6">
        <v>0</v>
      </c>
      <c r="I66" s="6">
        <f>F66-E66</f>
        <v>-3099.59</v>
      </c>
      <c r="K66" s="2">
        <f t="shared" si="4"/>
        <v>2700.41</v>
      </c>
    </row>
    <row r="67" spans="1:11" s="14" customFormat="1" ht="12.75">
      <c r="A67" s="14">
        <v>214</v>
      </c>
      <c r="C67" s="14" t="s">
        <v>37</v>
      </c>
      <c r="D67" s="15">
        <f>SUM(D68)</f>
        <v>3100</v>
      </c>
      <c r="E67" s="15">
        <f>SUM(E68)</f>
        <v>3100</v>
      </c>
      <c r="F67" s="15">
        <f>SUM(F68)</f>
        <v>3433</v>
      </c>
      <c r="G67" s="15">
        <f>SUM(G68)</f>
        <v>173</v>
      </c>
      <c r="H67" s="15">
        <f>SUM(H68)</f>
        <v>0</v>
      </c>
      <c r="I67" s="15">
        <f>F67-E67</f>
        <v>333</v>
      </c>
      <c r="K67" s="2">
        <f t="shared" si="4"/>
        <v>3433</v>
      </c>
    </row>
    <row r="68" spans="2:11" ht="12.75">
      <c r="B68" s="4">
        <v>1619</v>
      </c>
      <c r="C68" s="16" t="s">
        <v>133</v>
      </c>
      <c r="D68" s="6">
        <v>3100</v>
      </c>
      <c r="E68" s="6">
        <v>3100</v>
      </c>
      <c r="F68" s="6">
        <v>3433</v>
      </c>
      <c r="G68" s="6">
        <v>173</v>
      </c>
      <c r="H68" s="6">
        <v>0</v>
      </c>
      <c r="I68" s="6">
        <f>F68-E68</f>
        <v>333</v>
      </c>
      <c r="K68" s="2">
        <f t="shared" si="4"/>
        <v>3433</v>
      </c>
    </row>
    <row r="69" spans="1:11" s="14" customFormat="1" ht="12.75">
      <c r="A69" s="14">
        <v>215</v>
      </c>
      <c r="C69" s="14" t="s">
        <v>38</v>
      </c>
      <c r="D69" s="15">
        <f>SUM(D70)</f>
        <v>14500</v>
      </c>
      <c r="E69" s="15">
        <f>SUM(E70)</f>
        <v>14500</v>
      </c>
      <c r="F69" s="15">
        <f>SUM(F70)</f>
        <v>14499.96</v>
      </c>
      <c r="G69" s="15">
        <f>SUM(G70)</f>
        <v>1208.33</v>
      </c>
      <c r="H69" s="15">
        <f>SUM(H70)</f>
        <v>0</v>
      </c>
      <c r="I69" s="15">
        <f>F69-E69</f>
        <v>-0.040000000000873115</v>
      </c>
      <c r="K69" s="2">
        <f t="shared" si="4"/>
        <v>14499.96</v>
      </c>
    </row>
    <row r="70" spans="2:11" ht="12.75">
      <c r="B70" s="4">
        <v>1419</v>
      </c>
      <c r="C70" s="16" t="s">
        <v>136</v>
      </c>
      <c r="D70" s="6">
        <v>14500</v>
      </c>
      <c r="E70" s="6">
        <v>14500</v>
      </c>
      <c r="F70" s="6">
        <v>14499.96</v>
      </c>
      <c r="G70" s="6">
        <v>1208.33</v>
      </c>
      <c r="H70" s="6">
        <v>0</v>
      </c>
      <c r="I70" s="6">
        <f>F70-E70</f>
        <v>-0.040000000000873115</v>
      </c>
      <c r="K70" s="2">
        <f t="shared" si="4"/>
        <v>14499.96</v>
      </c>
    </row>
    <row r="73" spans="1:11" s="1" customFormat="1" ht="12.75">
      <c r="A73" s="1">
        <v>300</v>
      </c>
      <c r="C73" s="1" t="s">
        <v>44</v>
      </c>
      <c r="D73" s="2">
        <f>D74+D80</f>
        <v>329593</v>
      </c>
      <c r="E73" s="2">
        <f>E74+E80</f>
        <v>329593</v>
      </c>
      <c r="F73" s="2">
        <f>F74+F80</f>
        <v>372002.01</v>
      </c>
      <c r="G73" s="2">
        <f>G74+G80</f>
        <v>3313.3799999999997</v>
      </c>
      <c r="H73" s="2">
        <f>H74+H80</f>
        <v>0</v>
      </c>
      <c r="I73" s="2">
        <f aca="true" t="shared" si="5" ref="I73:I80">F73-E73</f>
        <v>42409.01000000001</v>
      </c>
      <c r="K73" s="2">
        <f aca="true" t="shared" si="6" ref="K73:K82">F73+H73</f>
        <v>372002.01</v>
      </c>
    </row>
    <row r="74" spans="1:11" ht="12.75">
      <c r="A74" s="4">
        <v>301</v>
      </c>
      <c r="C74" s="4" t="s">
        <v>58</v>
      </c>
      <c r="D74" s="6">
        <f>SUM(D75:D79)</f>
        <v>59593</v>
      </c>
      <c r="E74" s="6">
        <f>SUM(E75:E79)</f>
        <v>59593</v>
      </c>
      <c r="F74" s="6">
        <f>SUM(F75:F79)</f>
        <v>63017.58</v>
      </c>
      <c r="G74" s="6">
        <f>SUM(G75:G79)</f>
        <v>505.43</v>
      </c>
      <c r="H74" s="6">
        <f>SUM(H75:H79)</f>
        <v>0</v>
      </c>
      <c r="I74" s="6">
        <f t="shared" si="5"/>
        <v>3424.5800000000017</v>
      </c>
      <c r="K74" s="2">
        <f t="shared" si="6"/>
        <v>63017.58</v>
      </c>
    </row>
    <row r="75" spans="2:11" ht="12.75">
      <c r="B75" s="4">
        <v>1110</v>
      </c>
      <c r="C75" s="16" t="s">
        <v>137</v>
      </c>
      <c r="D75" s="6">
        <v>52492</v>
      </c>
      <c r="E75" s="6">
        <v>52492</v>
      </c>
      <c r="F75" s="6">
        <v>52662.05</v>
      </c>
      <c r="G75" s="6">
        <v>0</v>
      </c>
      <c r="H75" s="6">
        <v>0</v>
      </c>
      <c r="I75" s="6">
        <f t="shared" si="5"/>
        <v>170.0500000000029</v>
      </c>
      <c r="K75" s="2">
        <f t="shared" si="6"/>
        <v>52662.05</v>
      </c>
    </row>
    <row r="76" spans="2:11" ht="12.75">
      <c r="B76" s="4">
        <v>1120</v>
      </c>
      <c r="C76" s="16" t="s">
        <v>138</v>
      </c>
      <c r="D76" s="6">
        <v>149</v>
      </c>
      <c r="E76" s="6">
        <v>149</v>
      </c>
      <c r="F76" s="6">
        <v>712.98</v>
      </c>
      <c r="G76" s="6">
        <v>505.43</v>
      </c>
      <c r="H76" s="6">
        <v>0</v>
      </c>
      <c r="I76" s="6">
        <f t="shared" si="5"/>
        <v>563.98</v>
      </c>
      <c r="K76" s="2">
        <f t="shared" si="6"/>
        <v>712.98</v>
      </c>
    </row>
    <row r="77" spans="2:11" ht="12.75">
      <c r="B77" s="4">
        <v>1280</v>
      </c>
      <c r="C77" s="16" t="s">
        <v>26</v>
      </c>
      <c r="D77" s="6">
        <v>0</v>
      </c>
      <c r="E77" s="6">
        <v>0</v>
      </c>
      <c r="F77" s="6">
        <v>744.47</v>
      </c>
      <c r="G77" s="6">
        <v>0</v>
      </c>
      <c r="H77" s="6">
        <v>0</v>
      </c>
      <c r="I77" s="6">
        <f t="shared" si="5"/>
        <v>744.47</v>
      </c>
      <c r="K77" s="2">
        <f t="shared" si="6"/>
        <v>744.47</v>
      </c>
    </row>
    <row r="78" spans="2:11" ht="12.75">
      <c r="B78" s="4">
        <v>1281</v>
      </c>
      <c r="C78" s="16" t="s">
        <v>4</v>
      </c>
      <c r="D78" s="6">
        <v>0</v>
      </c>
      <c r="E78" s="6">
        <v>0</v>
      </c>
      <c r="F78" s="6">
        <v>1225.06</v>
      </c>
      <c r="G78" s="6">
        <v>0</v>
      </c>
      <c r="H78" s="6">
        <v>0</v>
      </c>
      <c r="I78" s="6">
        <f t="shared" si="5"/>
        <v>1225.06</v>
      </c>
      <c r="K78" s="2">
        <f t="shared" si="6"/>
        <v>1225.06</v>
      </c>
    </row>
    <row r="79" spans="2:11" ht="12.75">
      <c r="B79" s="4">
        <v>1285</v>
      </c>
      <c r="C79" s="16" t="s">
        <v>59</v>
      </c>
      <c r="D79" s="6">
        <v>6952</v>
      </c>
      <c r="E79" s="6">
        <v>6952</v>
      </c>
      <c r="F79" s="6">
        <v>7673.02</v>
      </c>
      <c r="G79" s="6">
        <v>0</v>
      </c>
      <c r="H79" s="6">
        <v>0</v>
      </c>
      <c r="I79" s="6">
        <f t="shared" si="5"/>
        <v>721.0200000000004</v>
      </c>
      <c r="K79" s="2">
        <f t="shared" si="6"/>
        <v>7673.02</v>
      </c>
    </row>
    <row r="80" spans="1:11" ht="12.75">
      <c r="A80" s="4">
        <v>302</v>
      </c>
      <c r="C80" s="4" t="s">
        <v>57</v>
      </c>
      <c r="D80" s="6">
        <f>SUM(D81:D82)</f>
        <v>270000</v>
      </c>
      <c r="E80" s="6">
        <f>SUM(E81:E82)</f>
        <v>270000</v>
      </c>
      <c r="F80" s="6">
        <f>SUM(F81:F82)</f>
        <v>308984.43</v>
      </c>
      <c r="G80" s="6">
        <f>SUM(G81:G82)</f>
        <v>2807.95</v>
      </c>
      <c r="H80" s="6">
        <f>SUM(H81:H82)</f>
        <v>0</v>
      </c>
      <c r="I80" s="6">
        <f t="shared" si="5"/>
        <v>38984.42999999999</v>
      </c>
      <c r="K80" s="2">
        <f t="shared" si="6"/>
        <v>308984.43</v>
      </c>
    </row>
    <row r="81" spans="2:11" ht="12.75">
      <c r="B81" s="4">
        <v>1551</v>
      </c>
      <c r="C81" s="4" t="s">
        <v>145</v>
      </c>
      <c r="D81" s="6">
        <v>270000</v>
      </c>
      <c r="E81" s="6">
        <v>270000</v>
      </c>
      <c r="F81" s="6">
        <v>308984.43</v>
      </c>
      <c r="G81" s="6">
        <v>2807.95</v>
      </c>
      <c r="H81" s="6">
        <v>0</v>
      </c>
      <c r="I81" s="6">
        <f>F81-E81</f>
        <v>38984.42999999999</v>
      </c>
      <c r="K81" s="2">
        <f t="shared" si="6"/>
        <v>308984.43</v>
      </c>
    </row>
    <row r="82" spans="2:11" ht="12.75">
      <c r="B82" s="4">
        <v>1820</v>
      </c>
      <c r="C82" s="4" t="s">
        <v>146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f>F82-E82</f>
        <v>0</v>
      </c>
      <c r="K82" s="2">
        <f t="shared" si="6"/>
        <v>0</v>
      </c>
    </row>
    <row r="85" spans="1:11" s="1" customFormat="1" ht="12.75">
      <c r="A85" s="1">
        <v>400</v>
      </c>
      <c r="C85" s="1" t="s">
        <v>45</v>
      </c>
      <c r="D85" s="2">
        <f>D86+D88+D93+D96+D98+D101</f>
        <v>682845</v>
      </c>
      <c r="E85" s="2">
        <f>E86+E88+E93+E96+E98+E101</f>
        <v>682845</v>
      </c>
      <c r="F85" s="2">
        <f>F86+F88+F93+F96+F98+F101</f>
        <v>587117.9</v>
      </c>
      <c r="G85" s="2">
        <f>G86+G88+G93+G96+G98+G101</f>
        <v>3797.6899999999996</v>
      </c>
      <c r="H85" s="2">
        <f>H86+H88+H93+H96+H98+H101</f>
        <v>0</v>
      </c>
      <c r="I85" s="2">
        <f aca="true" t="shared" si="7" ref="I85:I95">F85-E85</f>
        <v>-95727.09999999998</v>
      </c>
      <c r="K85" s="2">
        <f aca="true" t="shared" si="8" ref="K85:K103">F85+H85</f>
        <v>587117.9</v>
      </c>
    </row>
    <row r="86" spans="1:11" ht="12.75">
      <c r="A86" s="4">
        <v>403</v>
      </c>
      <c r="C86" s="4" t="s">
        <v>46</v>
      </c>
      <c r="D86" s="6">
        <f>SUM(D87)</f>
        <v>114300</v>
      </c>
      <c r="E86" s="6">
        <f>SUM(E87)</f>
        <v>114300</v>
      </c>
      <c r="F86" s="6">
        <f>SUM(F87)</f>
        <v>154600</v>
      </c>
      <c r="G86" s="6">
        <f>SUM(G87)</f>
        <v>0</v>
      </c>
      <c r="H86" s="6">
        <f>SUM(H87)</f>
        <v>0</v>
      </c>
      <c r="I86" s="6">
        <f t="shared" si="7"/>
        <v>40300</v>
      </c>
      <c r="K86" s="2">
        <f t="shared" si="8"/>
        <v>154600</v>
      </c>
    </row>
    <row r="87" spans="2:11" ht="12.75">
      <c r="B87" s="4">
        <v>1911</v>
      </c>
      <c r="C87" s="16" t="s">
        <v>134</v>
      </c>
      <c r="D87" s="6">
        <v>114300</v>
      </c>
      <c r="E87" s="6">
        <v>114300</v>
      </c>
      <c r="F87" s="6">
        <v>154600</v>
      </c>
      <c r="G87" s="6">
        <v>0</v>
      </c>
      <c r="H87" s="6">
        <v>0</v>
      </c>
      <c r="I87" s="6">
        <f t="shared" si="7"/>
        <v>40300</v>
      </c>
      <c r="K87" s="2">
        <f t="shared" si="8"/>
        <v>154600</v>
      </c>
    </row>
    <row r="88" spans="1:11" s="14" customFormat="1" ht="12.75">
      <c r="A88" s="14">
        <v>404</v>
      </c>
      <c r="C88" s="14" t="s">
        <v>115</v>
      </c>
      <c r="D88" s="15">
        <f>SUM(D89:D92)</f>
        <v>98545</v>
      </c>
      <c r="E88" s="15">
        <f>SUM(E89:E92)</f>
        <v>98545</v>
      </c>
      <c r="F88" s="15">
        <f>SUM(F89:F92)</f>
        <v>147065.3</v>
      </c>
      <c r="G88" s="15">
        <f>SUM(G89:G92)</f>
        <v>0</v>
      </c>
      <c r="H88" s="15">
        <f>SUM(H89:H92)</f>
        <v>0</v>
      </c>
      <c r="I88" s="15">
        <f t="shared" si="7"/>
        <v>48520.29999999999</v>
      </c>
      <c r="K88" s="2">
        <f t="shared" si="8"/>
        <v>147065.3</v>
      </c>
    </row>
    <row r="89" spans="2:11" ht="12.75">
      <c r="B89" s="4">
        <v>1810</v>
      </c>
      <c r="C89" s="4" t="s">
        <v>147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f t="shared" si="7"/>
        <v>0</v>
      </c>
      <c r="K89" s="2">
        <f t="shared" si="8"/>
        <v>0</v>
      </c>
    </row>
    <row r="90" spans="2:11" ht="12.75">
      <c r="B90" s="4">
        <v>1828</v>
      </c>
      <c r="C90" s="16" t="s">
        <v>135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f t="shared" si="7"/>
        <v>0</v>
      </c>
      <c r="K90" s="2">
        <f t="shared" si="8"/>
        <v>0</v>
      </c>
    </row>
    <row r="91" spans="2:11" ht="12.75">
      <c r="B91" s="4">
        <v>1844</v>
      </c>
      <c r="C91" s="4" t="s">
        <v>15</v>
      </c>
      <c r="D91" s="6">
        <v>0</v>
      </c>
      <c r="E91" s="6">
        <v>0</v>
      </c>
      <c r="F91" s="6">
        <v>48519.3</v>
      </c>
      <c r="G91" s="6">
        <v>0</v>
      </c>
      <c r="H91" s="6">
        <v>0</v>
      </c>
      <c r="I91" s="6">
        <f t="shared" si="7"/>
        <v>48519.3</v>
      </c>
      <c r="K91" s="2">
        <f t="shared" si="8"/>
        <v>48519.3</v>
      </c>
    </row>
    <row r="92" spans="2:11" ht="12.75">
      <c r="B92" s="4">
        <v>1911</v>
      </c>
      <c r="C92" s="16" t="s">
        <v>134</v>
      </c>
      <c r="D92" s="6">
        <v>98545</v>
      </c>
      <c r="E92" s="6">
        <v>98545</v>
      </c>
      <c r="F92" s="6">
        <v>98546</v>
      </c>
      <c r="G92" s="6">
        <v>0</v>
      </c>
      <c r="H92" s="6">
        <v>0</v>
      </c>
      <c r="I92" s="6">
        <f t="shared" si="7"/>
        <v>1</v>
      </c>
      <c r="K92" s="2">
        <f t="shared" si="8"/>
        <v>98546</v>
      </c>
    </row>
    <row r="93" spans="1:11" ht="12.75">
      <c r="A93" s="4">
        <v>405</v>
      </c>
      <c r="C93" s="4" t="s">
        <v>47</v>
      </c>
      <c r="D93" s="6">
        <f>SUM(D94:D95)</f>
        <v>0</v>
      </c>
      <c r="E93" s="6">
        <f>SUM(E94:E95)</f>
        <v>0</v>
      </c>
      <c r="F93" s="6">
        <f>SUM(F94:F95)</f>
        <v>0</v>
      </c>
      <c r="G93" s="6">
        <f>SUM(G94:G95)</f>
        <v>0</v>
      </c>
      <c r="H93" s="6">
        <f>SUM(H94:H95)</f>
        <v>0</v>
      </c>
      <c r="I93" s="6">
        <f t="shared" si="7"/>
        <v>0</v>
      </c>
      <c r="K93" s="2">
        <f t="shared" si="8"/>
        <v>0</v>
      </c>
    </row>
    <row r="94" spans="2:11" s="14" customFormat="1" ht="12.75">
      <c r="B94" s="4">
        <v>1280</v>
      </c>
      <c r="C94" s="16" t="s">
        <v>26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6">
        <f t="shared" si="7"/>
        <v>0</v>
      </c>
      <c r="K94" s="2">
        <f t="shared" si="8"/>
        <v>0</v>
      </c>
    </row>
    <row r="95" spans="2:11" s="14" customFormat="1" ht="12.75">
      <c r="B95" s="4">
        <v>1281</v>
      </c>
      <c r="C95" s="16" t="s">
        <v>4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6">
        <f t="shared" si="7"/>
        <v>0</v>
      </c>
      <c r="K95" s="2">
        <f t="shared" si="8"/>
        <v>0</v>
      </c>
    </row>
    <row r="96" spans="1:11" ht="12.75">
      <c r="A96" s="4">
        <v>406</v>
      </c>
      <c r="C96" s="4" t="s">
        <v>48</v>
      </c>
      <c r="D96" s="6">
        <f>SUM(D97)</f>
        <v>315000</v>
      </c>
      <c r="E96" s="6">
        <f>SUM(E97)</f>
        <v>315000</v>
      </c>
      <c r="F96" s="6">
        <f>SUM(F97)</f>
        <v>95770.88</v>
      </c>
      <c r="G96" s="6">
        <f>SUM(G97)</f>
        <v>1784.52</v>
      </c>
      <c r="H96" s="6">
        <f>SUM(H97)</f>
        <v>0</v>
      </c>
      <c r="I96" s="6">
        <f>F97-E97</f>
        <v>-219229.12</v>
      </c>
      <c r="K96" s="2">
        <f t="shared" si="8"/>
        <v>95770.88</v>
      </c>
    </row>
    <row r="97" spans="2:11" ht="12.75">
      <c r="B97" s="4">
        <v>1870</v>
      </c>
      <c r="C97" s="4" t="s">
        <v>148</v>
      </c>
      <c r="D97" s="6">
        <v>315000</v>
      </c>
      <c r="E97" s="6">
        <v>315000</v>
      </c>
      <c r="F97" s="6">
        <v>95770.88</v>
      </c>
      <c r="G97" s="6">
        <v>1784.52</v>
      </c>
      <c r="H97" s="6">
        <v>0</v>
      </c>
      <c r="I97" s="6">
        <f aca="true" t="shared" si="9" ref="I97:I103">F97-E97</f>
        <v>-219229.12</v>
      </c>
      <c r="K97" s="2">
        <f t="shared" si="8"/>
        <v>95770.88</v>
      </c>
    </row>
    <row r="98" spans="1:11" s="14" customFormat="1" ht="12.75">
      <c r="A98" s="14">
        <v>407</v>
      </c>
      <c r="C98" s="14" t="s">
        <v>49</v>
      </c>
      <c r="D98" s="15">
        <f>SUM(D99:D100)</f>
        <v>140000</v>
      </c>
      <c r="E98" s="15">
        <f>SUM(E99:E100)</f>
        <v>140000</v>
      </c>
      <c r="F98" s="15">
        <f>SUM(F99:F100)</f>
        <v>174535.18</v>
      </c>
      <c r="G98" s="15">
        <f>SUM(G99:G100)</f>
        <v>1875.55</v>
      </c>
      <c r="H98" s="15">
        <f>SUM(H99:H100)</f>
        <v>0</v>
      </c>
      <c r="I98" s="15">
        <f t="shared" si="9"/>
        <v>34535.17999999999</v>
      </c>
      <c r="K98" s="2">
        <f t="shared" si="8"/>
        <v>174535.18</v>
      </c>
    </row>
    <row r="99" spans="2:11" ht="12.75">
      <c r="B99" s="4">
        <v>1551</v>
      </c>
      <c r="C99" s="4" t="s">
        <v>145</v>
      </c>
      <c r="D99" s="6">
        <v>140000</v>
      </c>
      <c r="E99" s="6">
        <v>140000</v>
      </c>
      <c r="F99" s="6">
        <v>174535.18</v>
      </c>
      <c r="G99" s="6">
        <v>1875.55</v>
      </c>
      <c r="H99" s="6">
        <v>0</v>
      </c>
      <c r="I99" s="6">
        <f t="shared" si="9"/>
        <v>34535.17999999999</v>
      </c>
      <c r="K99" s="2">
        <f t="shared" si="8"/>
        <v>174535.18</v>
      </c>
    </row>
    <row r="100" spans="2:11" ht="12.75">
      <c r="B100" s="4">
        <v>1820</v>
      </c>
      <c r="C100" s="4" t="s">
        <v>146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f t="shared" si="9"/>
        <v>0</v>
      </c>
      <c r="K100" s="2">
        <f t="shared" si="8"/>
        <v>0</v>
      </c>
    </row>
    <row r="101" spans="1:11" ht="12.75">
      <c r="A101" s="4">
        <v>408</v>
      </c>
      <c r="C101" s="4" t="s">
        <v>50</v>
      </c>
      <c r="D101" s="6">
        <f>SUM(D102:D103)</f>
        <v>15000</v>
      </c>
      <c r="E101" s="6">
        <f>SUM(E102:E103)</f>
        <v>15000</v>
      </c>
      <c r="F101" s="6">
        <f>SUM(F102:F103)</f>
        <v>15146.54</v>
      </c>
      <c r="G101" s="6">
        <f>SUM(G102:G103)</f>
        <v>137.62</v>
      </c>
      <c r="H101" s="6">
        <f>SUM(H102:H103)</f>
        <v>0</v>
      </c>
      <c r="I101" s="6">
        <f t="shared" si="9"/>
        <v>146.54000000000087</v>
      </c>
      <c r="K101" s="2">
        <f t="shared" si="8"/>
        <v>15146.54</v>
      </c>
    </row>
    <row r="102" spans="2:11" ht="12.75">
      <c r="B102" s="4">
        <v>1551</v>
      </c>
      <c r="C102" s="4" t="s">
        <v>145</v>
      </c>
      <c r="D102" s="6">
        <v>15000</v>
      </c>
      <c r="E102" s="6">
        <v>15000</v>
      </c>
      <c r="F102" s="6">
        <v>15146.54</v>
      </c>
      <c r="G102" s="6">
        <v>137.62</v>
      </c>
      <c r="H102" s="6">
        <v>0</v>
      </c>
      <c r="I102" s="6">
        <f t="shared" si="9"/>
        <v>146.54000000000087</v>
      </c>
      <c r="K102" s="2">
        <f t="shared" si="8"/>
        <v>15146.54</v>
      </c>
    </row>
    <row r="103" spans="2:11" ht="12.75">
      <c r="B103" s="4">
        <v>1820</v>
      </c>
      <c r="C103" s="4" t="s">
        <v>146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f t="shared" si="9"/>
        <v>0</v>
      </c>
      <c r="K103" s="2">
        <f t="shared" si="8"/>
        <v>0</v>
      </c>
    </row>
    <row r="104" ht="11.25">
      <c r="C104" s="16"/>
    </row>
    <row r="106" spans="1:11" s="1" customFormat="1" ht="12.75">
      <c r="A106" s="1">
        <v>600</v>
      </c>
      <c r="C106" s="1" t="s">
        <v>51</v>
      </c>
      <c r="D106" s="2">
        <f>D107+D116+D121+D124</f>
        <v>660000</v>
      </c>
      <c r="E106" s="2">
        <f>E107+E116+E121+E124</f>
        <v>680000</v>
      </c>
      <c r="F106" s="2">
        <f>F107+F116+F121+F124</f>
        <v>676680.55</v>
      </c>
      <c r="G106" s="2">
        <f>G107+G116+G121+G124</f>
        <v>8430.6</v>
      </c>
      <c r="H106" s="2">
        <f>H107+H116+H121+H124</f>
        <v>0</v>
      </c>
      <c r="I106" s="2">
        <f>F106-E106</f>
        <v>-3319.4499999999534</v>
      </c>
      <c r="K106" s="2">
        <f aca="true" t="shared" si="10" ref="K106:K126">F106+H106</f>
        <v>676680.55</v>
      </c>
    </row>
    <row r="107" spans="1:11" ht="12.75">
      <c r="A107" s="4">
        <v>601</v>
      </c>
      <c r="C107" s="4" t="s">
        <v>52</v>
      </c>
      <c r="D107" s="6">
        <f>SUM(D108:D115)</f>
        <v>335000</v>
      </c>
      <c r="E107" s="6">
        <f>SUM(E108:E115)</f>
        <v>355000</v>
      </c>
      <c r="F107" s="6">
        <f>SUM(F108:F115)</f>
        <v>366373.17</v>
      </c>
      <c r="G107" s="6">
        <f>SUM(G108:G115)</f>
        <v>4479.89</v>
      </c>
      <c r="H107" s="6">
        <f>SUM(H108:H115)</f>
        <v>0</v>
      </c>
      <c r="I107" s="6">
        <f>F107-E107</f>
        <v>11373.169999999984</v>
      </c>
      <c r="K107" s="2">
        <f t="shared" si="10"/>
        <v>366373.17</v>
      </c>
    </row>
    <row r="108" spans="2:11" ht="12.75">
      <c r="B108" s="4">
        <v>1551</v>
      </c>
      <c r="C108" s="4" t="s">
        <v>145</v>
      </c>
      <c r="D108" s="6">
        <v>326650</v>
      </c>
      <c r="E108" s="6">
        <v>346650</v>
      </c>
      <c r="F108" s="6">
        <v>362220.61</v>
      </c>
      <c r="G108" s="6">
        <v>4444.89</v>
      </c>
      <c r="H108" s="6">
        <v>0</v>
      </c>
      <c r="I108" s="6">
        <f aca="true" t="shared" si="11" ref="I108:I126">F108-E108</f>
        <v>15570.609999999986</v>
      </c>
      <c r="K108" s="2">
        <f t="shared" si="10"/>
        <v>362220.61</v>
      </c>
    </row>
    <row r="109" spans="2:11" ht="12.75">
      <c r="B109" s="4">
        <v>1552</v>
      </c>
      <c r="C109" s="4" t="s">
        <v>149</v>
      </c>
      <c r="D109" s="6">
        <v>4500</v>
      </c>
      <c r="E109" s="6">
        <v>4500</v>
      </c>
      <c r="F109" s="6">
        <v>750</v>
      </c>
      <c r="G109" s="6">
        <v>0</v>
      </c>
      <c r="H109" s="6">
        <v>0</v>
      </c>
      <c r="I109" s="6">
        <f t="shared" si="11"/>
        <v>-3750</v>
      </c>
      <c r="K109" s="2">
        <f t="shared" si="10"/>
        <v>750</v>
      </c>
    </row>
    <row r="110" spans="2:11" ht="12.75">
      <c r="B110" s="4">
        <v>1553</v>
      </c>
      <c r="C110" s="4" t="s">
        <v>150</v>
      </c>
      <c r="D110" s="6">
        <v>2000</v>
      </c>
      <c r="E110" s="6">
        <v>2000</v>
      </c>
      <c r="F110" s="6">
        <v>1420</v>
      </c>
      <c r="G110" s="6">
        <v>0</v>
      </c>
      <c r="H110" s="6">
        <v>0</v>
      </c>
      <c r="I110" s="6">
        <f t="shared" si="11"/>
        <v>-580</v>
      </c>
      <c r="K110" s="2">
        <f t="shared" si="10"/>
        <v>1420</v>
      </c>
    </row>
    <row r="111" spans="2:11" ht="12.75">
      <c r="B111" s="4">
        <v>1593</v>
      </c>
      <c r="C111" s="4" t="s">
        <v>151</v>
      </c>
      <c r="D111" s="6">
        <v>50</v>
      </c>
      <c r="E111" s="6">
        <v>50</v>
      </c>
      <c r="F111" s="6">
        <v>0</v>
      </c>
      <c r="G111" s="6">
        <v>0</v>
      </c>
      <c r="H111" s="6">
        <v>0</v>
      </c>
      <c r="I111" s="6">
        <f t="shared" si="11"/>
        <v>-50</v>
      </c>
      <c r="K111" s="2">
        <f t="shared" si="10"/>
        <v>0</v>
      </c>
    </row>
    <row r="112" spans="2:11" ht="12.75">
      <c r="B112" s="4">
        <v>1594</v>
      </c>
      <c r="C112" s="4" t="s">
        <v>152</v>
      </c>
      <c r="D112" s="6">
        <v>100</v>
      </c>
      <c r="E112" s="6">
        <v>100</v>
      </c>
      <c r="F112" s="6">
        <v>210</v>
      </c>
      <c r="G112" s="6">
        <v>35</v>
      </c>
      <c r="H112" s="6">
        <v>0</v>
      </c>
      <c r="I112" s="6">
        <f t="shared" si="11"/>
        <v>110</v>
      </c>
      <c r="K112" s="2">
        <f t="shared" si="10"/>
        <v>210</v>
      </c>
    </row>
    <row r="113" spans="2:11" ht="12.75">
      <c r="B113" s="4">
        <v>1597</v>
      </c>
      <c r="C113" s="4" t="s">
        <v>153</v>
      </c>
      <c r="D113" s="6">
        <v>1400</v>
      </c>
      <c r="E113" s="6">
        <v>1400</v>
      </c>
      <c r="F113" s="6">
        <v>172</v>
      </c>
      <c r="G113" s="6">
        <v>0</v>
      </c>
      <c r="H113" s="6">
        <v>0</v>
      </c>
      <c r="I113" s="6">
        <f t="shared" si="11"/>
        <v>-1228</v>
      </c>
      <c r="K113" s="2">
        <f t="shared" si="10"/>
        <v>172</v>
      </c>
    </row>
    <row r="114" spans="2:11" ht="12.75">
      <c r="B114" s="4">
        <v>1598</v>
      </c>
      <c r="C114" s="4" t="s">
        <v>154</v>
      </c>
      <c r="D114" s="6">
        <v>100</v>
      </c>
      <c r="E114" s="6">
        <v>100</v>
      </c>
      <c r="F114" s="6">
        <v>0</v>
      </c>
      <c r="G114" s="6">
        <v>0</v>
      </c>
      <c r="H114" s="6">
        <v>0</v>
      </c>
      <c r="I114" s="6">
        <f t="shared" si="11"/>
        <v>-100</v>
      </c>
      <c r="K114" s="2">
        <f t="shared" si="10"/>
        <v>0</v>
      </c>
    </row>
    <row r="115" spans="2:11" ht="12.75">
      <c r="B115" s="4">
        <v>1820</v>
      </c>
      <c r="C115" s="4" t="s">
        <v>146</v>
      </c>
      <c r="D115" s="6">
        <v>200</v>
      </c>
      <c r="E115" s="6">
        <v>200</v>
      </c>
      <c r="F115" s="6">
        <v>1600.56</v>
      </c>
      <c r="G115" s="6">
        <v>0</v>
      </c>
      <c r="H115" s="6">
        <v>0</v>
      </c>
      <c r="I115" s="6">
        <f t="shared" si="11"/>
        <v>1400.56</v>
      </c>
      <c r="K115" s="2">
        <f t="shared" si="10"/>
        <v>1600.56</v>
      </c>
    </row>
    <row r="116" spans="1:11" ht="12.75">
      <c r="A116" s="4">
        <v>602</v>
      </c>
      <c r="C116" s="4" t="s">
        <v>155</v>
      </c>
      <c r="D116" s="6">
        <f>SUM(D117:D120)</f>
        <v>289000</v>
      </c>
      <c r="E116" s="6">
        <f>SUM(E117:E120)</f>
        <v>289000</v>
      </c>
      <c r="F116" s="6">
        <f>SUM(F117:F120)</f>
        <v>276653.08</v>
      </c>
      <c r="G116" s="6">
        <f>SUM(G117:G120)</f>
        <v>3633.05</v>
      </c>
      <c r="H116" s="6">
        <f>SUM(H117:H120)</f>
        <v>0</v>
      </c>
      <c r="I116" s="6">
        <f>F116-E116</f>
        <v>-12346.919999999984</v>
      </c>
      <c r="K116" s="2">
        <f t="shared" si="10"/>
        <v>276653.08</v>
      </c>
    </row>
    <row r="117" spans="2:11" ht="12.75">
      <c r="B117" s="4">
        <v>1551</v>
      </c>
      <c r="C117" s="4" t="s">
        <v>145</v>
      </c>
      <c r="D117" s="6">
        <v>280600</v>
      </c>
      <c r="E117" s="6">
        <v>280600</v>
      </c>
      <c r="F117" s="6">
        <v>275623.08</v>
      </c>
      <c r="G117" s="6">
        <v>3633.05</v>
      </c>
      <c r="H117" s="6">
        <v>0</v>
      </c>
      <c r="I117" s="6">
        <f t="shared" si="11"/>
        <v>-4976.919999999984</v>
      </c>
      <c r="K117" s="2">
        <f t="shared" si="10"/>
        <v>275623.08</v>
      </c>
    </row>
    <row r="118" spans="2:11" ht="12.75">
      <c r="B118" s="4">
        <v>1554</v>
      </c>
      <c r="C118" s="4" t="s">
        <v>156</v>
      </c>
      <c r="D118" s="6">
        <v>8200</v>
      </c>
      <c r="E118" s="6">
        <v>8200</v>
      </c>
      <c r="F118" s="6">
        <v>1030</v>
      </c>
      <c r="G118" s="6">
        <v>0</v>
      </c>
      <c r="H118" s="6">
        <v>0</v>
      </c>
      <c r="I118" s="6">
        <f t="shared" si="11"/>
        <v>-7170</v>
      </c>
      <c r="K118" s="2">
        <f t="shared" si="10"/>
        <v>1030</v>
      </c>
    </row>
    <row r="119" spans="2:11" ht="12.75">
      <c r="B119" s="4">
        <v>1594</v>
      </c>
      <c r="C119" s="4" t="s">
        <v>152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f t="shared" si="11"/>
        <v>0</v>
      </c>
      <c r="K119" s="2">
        <f t="shared" si="10"/>
        <v>0</v>
      </c>
    </row>
    <row r="120" spans="2:11" ht="12.75">
      <c r="B120" s="4">
        <v>1820</v>
      </c>
      <c r="C120" s="4" t="s">
        <v>146</v>
      </c>
      <c r="D120" s="6">
        <v>200</v>
      </c>
      <c r="E120" s="6">
        <v>200</v>
      </c>
      <c r="F120" s="6">
        <v>0</v>
      </c>
      <c r="G120" s="6">
        <v>0</v>
      </c>
      <c r="H120" s="6">
        <v>0</v>
      </c>
      <c r="I120" s="6">
        <f t="shared" si="11"/>
        <v>-200</v>
      </c>
      <c r="K120" s="2">
        <f t="shared" si="10"/>
        <v>0</v>
      </c>
    </row>
    <row r="121" spans="1:11" ht="12.75">
      <c r="A121" s="4">
        <v>603</v>
      </c>
      <c r="C121" s="4" t="s">
        <v>53</v>
      </c>
      <c r="D121" s="6">
        <f>SUM(D122:D123)</f>
        <v>14000</v>
      </c>
      <c r="E121" s="6">
        <f>SUM(E122:E123)</f>
        <v>14000</v>
      </c>
      <c r="F121" s="6">
        <f>SUM(F122:F123)</f>
        <v>15147.3</v>
      </c>
      <c r="G121" s="6">
        <f>SUM(G122:G123)</f>
        <v>137.66</v>
      </c>
      <c r="H121" s="6">
        <f>SUM(H122:H123)</f>
        <v>0</v>
      </c>
      <c r="I121" s="6">
        <f>F121-E121</f>
        <v>1147.2999999999993</v>
      </c>
      <c r="K121" s="2">
        <f t="shared" si="10"/>
        <v>15147.3</v>
      </c>
    </row>
    <row r="122" spans="2:11" ht="12.75">
      <c r="B122" s="4">
        <v>1551</v>
      </c>
      <c r="C122" s="4" t="s">
        <v>145</v>
      </c>
      <c r="D122" s="6">
        <v>14000</v>
      </c>
      <c r="E122" s="6">
        <v>14000</v>
      </c>
      <c r="F122" s="6">
        <v>15147.3</v>
      </c>
      <c r="G122" s="6">
        <v>137.66</v>
      </c>
      <c r="H122" s="6">
        <v>0</v>
      </c>
      <c r="I122" s="6">
        <f t="shared" si="11"/>
        <v>1147.2999999999993</v>
      </c>
      <c r="K122" s="2">
        <f t="shared" si="10"/>
        <v>15147.3</v>
      </c>
    </row>
    <row r="123" spans="2:11" ht="12.75">
      <c r="B123" s="4">
        <v>1820</v>
      </c>
      <c r="C123" s="4" t="s">
        <v>146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f t="shared" si="11"/>
        <v>0</v>
      </c>
      <c r="K123" s="2">
        <f t="shared" si="10"/>
        <v>0</v>
      </c>
    </row>
    <row r="124" spans="1:11" ht="12.75">
      <c r="A124" s="4">
        <v>605</v>
      </c>
      <c r="C124" s="4" t="s">
        <v>54</v>
      </c>
      <c r="D124" s="6">
        <f>SUM(D125:D126)</f>
        <v>22000</v>
      </c>
      <c r="E124" s="6">
        <f>SUM(E125:E126)</f>
        <v>22000</v>
      </c>
      <c r="F124" s="6">
        <f>SUM(F125:F126)</f>
        <v>18507</v>
      </c>
      <c r="G124" s="6">
        <f>SUM(G125:G126)</f>
        <v>180</v>
      </c>
      <c r="H124" s="6">
        <f>SUM(H125:H126)</f>
        <v>0</v>
      </c>
      <c r="I124" s="6">
        <f>F124-E124</f>
        <v>-3493</v>
      </c>
      <c r="K124" s="2">
        <f t="shared" si="10"/>
        <v>18507</v>
      </c>
    </row>
    <row r="125" spans="2:11" ht="12.75">
      <c r="B125" s="4">
        <v>1556</v>
      </c>
      <c r="C125" s="4" t="s">
        <v>157</v>
      </c>
      <c r="D125" s="6">
        <v>22000</v>
      </c>
      <c r="E125" s="6">
        <v>22000</v>
      </c>
      <c r="F125" s="6">
        <v>18507</v>
      </c>
      <c r="G125" s="6">
        <v>180</v>
      </c>
      <c r="H125" s="6">
        <v>0</v>
      </c>
      <c r="I125" s="6">
        <f t="shared" si="11"/>
        <v>-3493</v>
      </c>
      <c r="K125" s="2">
        <f t="shared" si="10"/>
        <v>18507</v>
      </c>
    </row>
    <row r="126" spans="2:11" ht="12.75">
      <c r="B126" s="4">
        <v>1820</v>
      </c>
      <c r="C126" s="4" t="s">
        <v>146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f t="shared" si="11"/>
        <v>0</v>
      </c>
      <c r="K126" s="2">
        <f t="shared" si="10"/>
        <v>0</v>
      </c>
    </row>
    <row r="127" ht="12.75">
      <c r="K127" s="2"/>
    </row>
    <row r="129" spans="1:11" s="1" customFormat="1" ht="12.75">
      <c r="A129" s="1">
        <v>800</v>
      </c>
      <c r="D129" s="2">
        <f>D130+D136+D138+D141+D150</f>
        <v>59009</v>
      </c>
      <c r="E129" s="2">
        <f>E130+E136+E138+E141+E150</f>
        <v>59009</v>
      </c>
      <c r="F129" s="2">
        <f>F130+F136+F138+F141+F150</f>
        <v>40706.00000000001</v>
      </c>
      <c r="G129" s="2">
        <f>G130+G136+G138+G141+G150</f>
        <v>1421.98</v>
      </c>
      <c r="H129" s="2">
        <f>H130+H136+H138+H141+H150</f>
        <v>0</v>
      </c>
      <c r="I129" s="2">
        <f aca="true" t="shared" si="12" ref="I129:I141">F129-E129</f>
        <v>-18302.999999999993</v>
      </c>
      <c r="K129" s="2">
        <f aca="true" t="shared" si="13" ref="K129:K151">F129+H129</f>
        <v>40706.00000000001</v>
      </c>
    </row>
    <row r="130" spans="1:11" s="14" customFormat="1" ht="12.75">
      <c r="A130" s="14">
        <v>801</v>
      </c>
      <c r="C130" s="14" t="s">
        <v>39</v>
      </c>
      <c r="D130" s="15">
        <f>SUM(D131:D135)</f>
        <v>32909</v>
      </c>
      <c r="E130" s="15">
        <f>SUM(E131:E135)</f>
        <v>32909</v>
      </c>
      <c r="F130" s="15">
        <f>SUM(F131:F135)</f>
        <v>34113.700000000004</v>
      </c>
      <c r="G130" s="15">
        <f>SUM(G131:G135)</f>
        <v>275.68</v>
      </c>
      <c r="H130" s="15">
        <f>SUM(H131:H135)</f>
        <v>0</v>
      </c>
      <c r="I130" s="15">
        <f t="shared" si="12"/>
        <v>1204.7000000000044</v>
      </c>
      <c r="K130" s="2">
        <f t="shared" si="13"/>
        <v>34113.700000000004</v>
      </c>
    </row>
    <row r="131" spans="2:11" ht="12.75">
      <c r="B131" s="4">
        <v>1110</v>
      </c>
      <c r="C131" s="16" t="s">
        <v>137</v>
      </c>
      <c r="D131" s="6">
        <v>28633</v>
      </c>
      <c r="E131" s="6">
        <v>28633</v>
      </c>
      <c r="F131" s="6">
        <v>28934.65</v>
      </c>
      <c r="G131" s="6">
        <v>0</v>
      </c>
      <c r="H131" s="6">
        <v>0</v>
      </c>
      <c r="I131" s="6">
        <f t="shared" si="12"/>
        <v>301.65000000000146</v>
      </c>
      <c r="K131" s="2">
        <f t="shared" si="13"/>
        <v>28934.65</v>
      </c>
    </row>
    <row r="132" spans="2:11" ht="12.75">
      <c r="B132" s="4">
        <v>1120</v>
      </c>
      <c r="C132" s="16" t="s">
        <v>138</v>
      </c>
      <c r="D132" s="6">
        <v>289</v>
      </c>
      <c r="E132" s="6">
        <v>289</v>
      </c>
      <c r="F132" s="6">
        <v>575.29</v>
      </c>
      <c r="G132" s="6">
        <v>275.68</v>
      </c>
      <c r="H132" s="6">
        <v>0</v>
      </c>
      <c r="I132" s="6">
        <f t="shared" si="12"/>
        <v>286.28999999999996</v>
      </c>
      <c r="K132" s="2">
        <f t="shared" si="13"/>
        <v>575.29</v>
      </c>
    </row>
    <row r="133" spans="2:11" ht="12.75">
      <c r="B133" s="4">
        <v>1280</v>
      </c>
      <c r="C133" s="16" t="s">
        <v>26</v>
      </c>
      <c r="D133" s="6">
        <v>209</v>
      </c>
      <c r="E133" s="6">
        <v>209</v>
      </c>
      <c r="F133" s="6">
        <v>196.24</v>
      </c>
      <c r="G133" s="6">
        <v>0</v>
      </c>
      <c r="H133" s="6">
        <v>0</v>
      </c>
      <c r="I133" s="6">
        <f t="shared" si="12"/>
        <v>-12.759999999999991</v>
      </c>
      <c r="K133" s="2">
        <f t="shared" si="13"/>
        <v>196.24</v>
      </c>
    </row>
    <row r="134" spans="2:11" ht="12.75">
      <c r="B134" s="4">
        <v>1281</v>
      </c>
      <c r="C134" s="16" t="s">
        <v>4</v>
      </c>
      <c r="D134" s="6">
        <v>0</v>
      </c>
      <c r="E134" s="6">
        <v>0</v>
      </c>
      <c r="F134" s="6">
        <v>222.25</v>
      </c>
      <c r="G134" s="6">
        <v>0</v>
      </c>
      <c r="H134" s="6">
        <v>0</v>
      </c>
      <c r="I134" s="6">
        <f t="shared" si="12"/>
        <v>222.25</v>
      </c>
      <c r="K134" s="2">
        <f t="shared" si="13"/>
        <v>222.25</v>
      </c>
    </row>
    <row r="135" spans="2:11" ht="12.75">
      <c r="B135" s="4">
        <v>1285</v>
      </c>
      <c r="C135" s="16" t="s">
        <v>59</v>
      </c>
      <c r="D135" s="6">
        <v>3778</v>
      </c>
      <c r="E135" s="6">
        <v>3778</v>
      </c>
      <c r="F135" s="6">
        <v>4185.27</v>
      </c>
      <c r="G135" s="6">
        <v>0</v>
      </c>
      <c r="H135" s="6">
        <v>0</v>
      </c>
      <c r="I135" s="6">
        <f t="shared" si="12"/>
        <v>407.27000000000044</v>
      </c>
      <c r="K135" s="2">
        <f t="shared" si="13"/>
        <v>4185.27</v>
      </c>
    </row>
    <row r="136" spans="1:11" s="14" customFormat="1" ht="12.75">
      <c r="A136" s="14">
        <v>804</v>
      </c>
      <c r="C136" s="14" t="s">
        <v>40</v>
      </c>
      <c r="D136" s="15">
        <f>SUM(D137)</f>
        <v>1000</v>
      </c>
      <c r="E136" s="15">
        <f>SUM(E137)</f>
        <v>1000</v>
      </c>
      <c r="F136" s="15">
        <f>SUM(F137)</f>
        <v>0</v>
      </c>
      <c r="G136" s="15">
        <f>SUM(G137)</f>
        <v>0</v>
      </c>
      <c r="H136" s="15">
        <f>SUM(H137)</f>
        <v>0</v>
      </c>
      <c r="I136" s="15">
        <f t="shared" si="12"/>
        <v>-1000</v>
      </c>
      <c r="K136" s="2">
        <f t="shared" si="13"/>
        <v>0</v>
      </c>
    </row>
    <row r="137" spans="2:11" ht="12.75">
      <c r="B137" s="4">
        <v>1830</v>
      </c>
      <c r="C137" s="16" t="s">
        <v>130</v>
      </c>
      <c r="D137" s="6">
        <v>1000</v>
      </c>
      <c r="E137" s="6">
        <v>1000</v>
      </c>
      <c r="F137" s="6">
        <v>0</v>
      </c>
      <c r="G137" s="6">
        <v>0</v>
      </c>
      <c r="H137" s="6">
        <v>0</v>
      </c>
      <c r="I137" s="6">
        <f t="shared" si="12"/>
        <v>-1000</v>
      </c>
      <c r="K137" s="2">
        <f t="shared" si="13"/>
        <v>0</v>
      </c>
    </row>
    <row r="138" spans="1:11" s="14" customFormat="1" ht="12.75">
      <c r="A138" s="14">
        <v>805</v>
      </c>
      <c r="C138" s="14" t="s">
        <v>41</v>
      </c>
      <c r="D138" s="15">
        <f>SUM(D139:D140)</f>
        <v>10000</v>
      </c>
      <c r="E138" s="15">
        <f>SUM(E139:E140)</f>
        <v>10000</v>
      </c>
      <c r="F138" s="15">
        <f>SUM(F139:F140)</f>
        <v>2713.3</v>
      </c>
      <c r="G138" s="15">
        <f>SUM(G139:G140)</f>
        <v>1146.3</v>
      </c>
      <c r="H138" s="15">
        <f>SUM(H139:H140)</f>
        <v>0</v>
      </c>
      <c r="I138" s="15">
        <f t="shared" si="12"/>
        <v>-7286.7</v>
      </c>
      <c r="K138" s="2">
        <f t="shared" si="13"/>
        <v>2713.3</v>
      </c>
    </row>
    <row r="139" spans="2:11" ht="12.75">
      <c r="B139" s="4">
        <v>1830</v>
      </c>
      <c r="C139" s="16" t="s">
        <v>130</v>
      </c>
      <c r="D139" s="6">
        <v>10000</v>
      </c>
      <c r="E139" s="6">
        <v>10000</v>
      </c>
      <c r="F139" s="6">
        <v>2435</v>
      </c>
      <c r="G139" s="6">
        <v>1000</v>
      </c>
      <c r="H139" s="6">
        <v>0</v>
      </c>
      <c r="I139" s="6">
        <f t="shared" si="12"/>
        <v>-7565</v>
      </c>
      <c r="K139" s="2">
        <f t="shared" si="13"/>
        <v>2435</v>
      </c>
    </row>
    <row r="140" spans="2:11" ht="12.75">
      <c r="B140" s="4">
        <v>1834</v>
      </c>
      <c r="C140" s="16" t="s">
        <v>131</v>
      </c>
      <c r="D140" s="6">
        <v>0</v>
      </c>
      <c r="E140" s="6">
        <v>0</v>
      </c>
      <c r="F140" s="6">
        <v>278.3</v>
      </c>
      <c r="G140" s="6">
        <v>146.3</v>
      </c>
      <c r="H140" s="6">
        <v>0</v>
      </c>
      <c r="I140" s="6">
        <f t="shared" si="12"/>
        <v>278.3</v>
      </c>
      <c r="K140" s="2">
        <f t="shared" si="13"/>
        <v>278.3</v>
      </c>
    </row>
    <row r="141" spans="1:11" s="14" customFormat="1" ht="12.75">
      <c r="A141" s="14">
        <v>809</v>
      </c>
      <c r="C141" s="14" t="s">
        <v>42</v>
      </c>
      <c r="D141" s="15">
        <f>SUM(D142:D149)</f>
        <v>15000</v>
      </c>
      <c r="E141" s="15">
        <f>SUM(E142:E149)</f>
        <v>15000</v>
      </c>
      <c r="F141" s="15">
        <f>SUM(F142:F149)</f>
        <v>3879</v>
      </c>
      <c r="G141" s="15">
        <f>SUM(G142:G149)</f>
        <v>0</v>
      </c>
      <c r="H141" s="15">
        <f>SUM(H142:H149)</f>
        <v>0</v>
      </c>
      <c r="I141" s="15">
        <f t="shared" si="12"/>
        <v>-11121</v>
      </c>
      <c r="K141" s="2">
        <f t="shared" si="13"/>
        <v>3879</v>
      </c>
    </row>
    <row r="142" spans="2:11" ht="12.75">
      <c r="B142" s="4">
        <v>1490</v>
      </c>
      <c r="C142" s="16" t="s">
        <v>139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f aca="true" t="shared" si="14" ref="I142:I149">F142-E142</f>
        <v>0</v>
      </c>
      <c r="K142" s="2">
        <f t="shared" si="13"/>
        <v>0</v>
      </c>
    </row>
    <row r="143" spans="2:11" ht="12.75">
      <c r="B143" s="4">
        <v>1826</v>
      </c>
      <c r="C143" s="16" t="s">
        <v>140</v>
      </c>
      <c r="D143" s="6">
        <v>1000</v>
      </c>
      <c r="E143" s="6">
        <v>1000</v>
      </c>
      <c r="F143" s="6">
        <v>3694</v>
      </c>
      <c r="G143" s="6">
        <v>0</v>
      </c>
      <c r="H143" s="6">
        <v>0</v>
      </c>
      <c r="I143" s="6">
        <f t="shared" si="14"/>
        <v>2694</v>
      </c>
      <c r="K143" s="2">
        <f t="shared" si="13"/>
        <v>3694</v>
      </c>
    </row>
    <row r="144" spans="2:11" ht="12.75">
      <c r="B144" s="4">
        <v>1827</v>
      </c>
      <c r="C144" s="16" t="s">
        <v>141</v>
      </c>
      <c r="D144" s="6">
        <v>1000</v>
      </c>
      <c r="E144" s="6">
        <v>1000</v>
      </c>
      <c r="F144" s="6">
        <v>10</v>
      </c>
      <c r="G144" s="6">
        <v>0</v>
      </c>
      <c r="H144" s="6">
        <v>0</v>
      </c>
      <c r="I144" s="6">
        <f t="shared" si="14"/>
        <v>-990</v>
      </c>
      <c r="K144" s="2">
        <f t="shared" si="13"/>
        <v>10</v>
      </c>
    </row>
    <row r="145" spans="2:11" ht="12.75">
      <c r="B145" s="4">
        <v>1828</v>
      </c>
      <c r="C145" s="16" t="s">
        <v>135</v>
      </c>
      <c r="D145" s="6">
        <v>10000</v>
      </c>
      <c r="E145" s="6">
        <v>10000</v>
      </c>
      <c r="F145" s="6">
        <v>0</v>
      </c>
      <c r="G145" s="6">
        <v>0</v>
      </c>
      <c r="H145" s="6">
        <v>0</v>
      </c>
      <c r="I145" s="6">
        <f t="shared" si="14"/>
        <v>-10000</v>
      </c>
      <c r="K145" s="2">
        <f t="shared" si="13"/>
        <v>0</v>
      </c>
    </row>
    <row r="146" spans="2:11" ht="12.75">
      <c r="B146" s="4">
        <v>1830</v>
      </c>
      <c r="C146" s="16" t="s">
        <v>130</v>
      </c>
      <c r="D146" s="6">
        <v>2500</v>
      </c>
      <c r="E146" s="6">
        <v>2500</v>
      </c>
      <c r="F146" s="6">
        <v>0</v>
      </c>
      <c r="G146" s="6">
        <v>0</v>
      </c>
      <c r="H146" s="6">
        <v>0</v>
      </c>
      <c r="I146" s="6">
        <f t="shared" si="14"/>
        <v>-2500</v>
      </c>
      <c r="K146" s="2">
        <f t="shared" si="13"/>
        <v>0</v>
      </c>
    </row>
    <row r="147" spans="2:11" ht="12.75">
      <c r="B147" s="4">
        <v>1833</v>
      </c>
      <c r="C147" s="16" t="s">
        <v>142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f t="shared" si="14"/>
        <v>0</v>
      </c>
      <c r="K147" s="2">
        <f t="shared" si="13"/>
        <v>0</v>
      </c>
    </row>
    <row r="148" spans="2:11" ht="12.75">
      <c r="B148" s="4">
        <v>1837</v>
      </c>
      <c r="C148" s="16" t="s">
        <v>143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f t="shared" si="14"/>
        <v>0</v>
      </c>
      <c r="K148" s="2">
        <f t="shared" si="13"/>
        <v>0</v>
      </c>
    </row>
    <row r="149" spans="2:11" ht="12.75">
      <c r="B149" s="4">
        <v>1838</v>
      </c>
      <c r="C149" s="16" t="s">
        <v>144</v>
      </c>
      <c r="D149" s="6">
        <v>500</v>
      </c>
      <c r="E149" s="6">
        <v>500</v>
      </c>
      <c r="F149" s="6">
        <v>175</v>
      </c>
      <c r="G149" s="6">
        <v>0</v>
      </c>
      <c r="H149" s="6">
        <v>0</v>
      </c>
      <c r="I149" s="6">
        <f t="shared" si="14"/>
        <v>-325</v>
      </c>
      <c r="K149" s="2">
        <f t="shared" si="13"/>
        <v>175</v>
      </c>
    </row>
    <row r="150" spans="1:11" s="14" customFormat="1" ht="12.75">
      <c r="A150" s="14">
        <v>810</v>
      </c>
      <c r="C150" s="14" t="s">
        <v>55</v>
      </c>
      <c r="D150" s="15">
        <f>SUM(D151)</f>
        <v>100</v>
      </c>
      <c r="E150" s="15">
        <f>SUM(E151)</f>
        <v>100</v>
      </c>
      <c r="F150" s="15">
        <f>SUM(F151)</f>
        <v>0</v>
      </c>
      <c r="G150" s="15">
        <f>SUM(G151)</f>
        <v>0</v>
      </c>
      <c r="H150" s="15">
        <f>SUM(H151)</f>
        <v>0</v>
      </c>
      <c r="I150" s="15">
        <f>F150-E150</f>
        <v>-100</v>
      </c>
      <c r="K150" s="15">
        <f t="shared" si="13"/>
        <v>0</v>
      </c>
    </row>
    <row r="151" spans="2:11" ht="12.75">
      <c r="B151" s="4">
        <v>1828</v>
      </c>
      <c r="C151" s="16" t="s">
        <v>135</v>
      </c>
      <c r="D151" s="6">
        <v>100</v>
      </c>
      <c r="E151" s="6">
        <v>100</v>
      </c>
      <c r="F151" s="6">
        <v>0</v>
      </c>
      <c r="G151" s="6">
        <v>0</v>
      </c>
      <c r="H151" s="6">
        <v>0</v>
      </c>
      <c r="I151" s="6">
        <f>F151-E151</f>
        <v>-100</v>
      </c>
      <c r="K151" s="2">
        <f t="shared" si="13"/>
        <v>0</v>
      </c>
    </row>
    <row r="155" spans="3:11" s="1" customFormat="1" ht="12.75">
      <c r="C155" s="1" t="s">
        <v>56</v>
      </c>
      <c r="D155" s="2">
        <f aca="true" t="shared" si="15" ref="D155:I155">D8+D34+D73+D85+D106+D129</f>
        <v>4376204</v>
      </c>
      <c r="E155" s="2">
        <f t="shared" si="15"/>
        <v>4396204</v>
      </c>
      <c r="F155" s="2">
        <f t="shared" si="15"/>
        <v>4429896.620000001</v>
      </c>
      <c r="G155" s="2">
        <f t="shared" si="15"/>
        <v>66957.54</v>
      </c>
      <c r="H155" s="2">
        <f t="shared" si="15"/>
        <v>0</v>
      </c>
      <c r="I155" s="2">
        <f t="shared" si="15"/>
        <v>33692.62000000009</v>
      </c>
      <c r="K155" s="2">
        <f>F155+H155</f>
        <v>4429896.620000001</v>
      </c>
    </row>
  </sheetData>
  <printOptions/>
  <pageMargins left="0.5" right="0.5" top="1" bottom="1" header="0.5" footer="0.5"/>
  <pageSetup horizontalDpi="600" verticalDpi="600" orientation="landscape" r:id="rId1"/>
  <headerFooter alignWithMargins="0">
    <oddFooter>&amp;L&amp;8&amp;F</oddFooter>
  </headerFooter>
  <rowBreaks count="4" manualBreakCount="4">
    <brk id="33" max="255" man="1"/>
    <brk id="72" max="255" man="1"/>
    <brk id="105" max="255" man="1"/>
    <brk id="1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10"/>
  <sheetViews>
    <sheetView workbookViewId="0" topLeftCell="A1">
      <pane ySplit="948" topLeftCell="BM13" activePane="bottomLeft" state="split"/>
      <selection pane="topLeft" activeCell="H1" sqref="H1:H16384"/>
      <selection pane="bottomLeft" activeCell="E27" sqref="E27"/>
    </sheetView>
  </sheetViews>
  <sheetFormatPr defaultColWidth="9.140625" defaultRowHeight="12.75"/>
  <cols>
    <col min="1" max="2" width="4.7109375" style="4" customWidth="1"/>
    <col min="3" max="3" width="22.7109375" style="4" customWidth="1"/>
    <col min="4" max="6" width="13.28125" style="6" customWidth="1"/>
    <col min="7" max="7" width="11.421875" style="6" customWidth="1"/>
    <col min="8" max="8" width="10.7109375" style="6" customWidth="1"/>
    <col min="9" max="9" width="13.28125" style="6" customWidth="1"/>
    <col min="10" max="10" width="8.8515625" style="4" customWidth="1"/>
    <col min="11" max="11" width="12.28125" style="4" bestFit="1" customWidth="1"/>
    <col min="12" max="16384" width="8.8515625" style="4" customWidth="1"/>
  </cols>
  <sheetData>
    <row r="1" spans="3:11" ht="12.75">
      <c r="C1" s="10" t="s">
        <v>124</v>
      </c>
      <c r="D1" s="7" t="s">
        <v>17</v>
      </c>
      <c r="E1" s="7" t="s">
        <v>19</v>
      </c>
      <c r="F1" s="7" t="s">
        <v>20</v>
      </c>
      <c r="G1" s="7" t="s">
        <v>22</v>
      </c>
      <c r="H1" s="7" t="s">
        <v>20</v>
      </c>
      <c r="I1" s="7" t="s">
        <v>27</v>
      </c>
      <c r="K1" s="7" t="s">
        <v>20</v>
      </c>
    </row>
    <row r="2" spans="3:11" ht="12.75">
      <c r="C2" s="10" t="s">
        <v>185</v>
      </c>
      <c r="D2" s="7" t="s">
        <v>18</v>
      </c>
      <c r="E2" s="7" t="s">
        <v>18</v>
      </c>
      <c r="F2" s="7" t="s">
        <v>21</v>
      </c>
      <c r="G2" s="7" t="s">
        <v>23</v>
      </c>
      <c r="H2" s="7" t="s">
        <v>24</v>
      </c>
      <c r="I2" s="7" t="s">
        <v>28</v>
      </c>
      <c r="K2" s="7" t="s">
        <v>166</v>
      </c>
    </row>
    <row r="3" spans="3:9" ht="12.75">
      <c r="C3" s="10"/>
      <c r="D3" s="25"/>
      <c r="E3" s="25"/>
      <c r="F3" s="7"/>
      <c r="G3" s="7"/>
      <c r="H3" s="7"/>
      <c r="I3" s="7"/>
    </row>
    <row r="4" spans="1:2" ht="12">
      <c r="A4" s="5" t="s">
        <v>60</v>
      </c>
      <c r="B4" s="5"/>
    </row>
    <row r="5" spans="1:11" s="1" customFormat="1" ht="12.75">
      <c r="A5" s="1">
        <v>100</v>
      </c>
      <c r="C5" s="1" t="s">
        <v>62</v>
      </c>
      <c r="D5" s="2">
        <f aca="true" t="shared" si="0" ref="D5:I5">D26+D27</f>
        <v>2558972</v>
      </c>
      <c r="E5" s="2">
        <f t="shared" si="0"/>
        <v>2645813.6599999997</v>
      </c>
      <c r="F5" s="2">
        <f t="shared" si="0"/>
        <v>2510303.0100000002</v>
      </c>
      <c r="G5" s="2">
        <f t="shared" si="0"/>
        <v>192317.35</v>
      </c>
      <c r="H5" s="2">
        <f t="shared" si="0"/>
        <v>71517.87000000001</v>
      </c>
      <c r="I5" s="2">
        <f t="shared" si="0"/>
        <v>-63992.77999999987</v>
      </c>
      <c r="K5" s="2">
        <f>F5+H5</f>
        <v>2581820.8800000004</v>
      </c>
    </row>
    <row r="6" spans="1:11" ht="12.75">
      <c r="A6" s="3" t="s">
        <v>74</v>
      </c>
      <c r="B6" s="3"/>
      <c r="C6" s="4" t="s">
        <v>63</v>
      </c>
      <c r="D6" s="6">
        <v>775987</v>
      </c>
      <c r="E6" s="6">
        <v>803603.22</v>
      </c>
      <c r="F6" s="6">
        <v>769360.18</v>
      </c>
      <c r="G6" s="6">
        <v>65600.49</v>
      </c>
      <c r="H6" s="6">
        <v>28364.25</v>
      </c>
      <c r="I6" s="6">
        <f>F6+H6-E6</f>
        <v>-5878.789999999921</v>
      </c>
      <c r="K6" s="2">
        <f aca="true" t="shared" si="1" ref="K6:K27">F6+H6</f>
        <v>797724.43</v>
      </c>
    </row>
    <row r="7" spans="1:11" ht="12.75">
      <c r="A7" s="3" t="s">
        <v>75</v>
      </c>
      <c r="B7" s="3"/>
      <c r="C7" s="4" t="s">
        <v>64</v>
      </c>
      <c r="D7" s="6">
        <v>149626</v>
      </c>
      <c r="E7" s="6">
        <v>154784.17</v>
      </c>
      <c r="F7" s="6">
        <v>152296.48</v>
      </c>
      <c r="G7" s="6">
        <v>17768.88</v>
      </c>
      <c r="H7" s="6">
        <v>2484.44</v>
      </c>
      <c r="I7" s="6">
        <f aca="true" t="shared" si="2" ref="I7:I27">F7+H7-E7</f>
        <v>-3.25</v>
      </c>
      <c r="K7" s="2">
        <f t="shared" si="1"/>
        <v>154780.92</v>
      </c>
    </row>
    <row r="8" spans="1:11" ht="12.75">
      <c r="A8" s="3" t="s">
        <v>76</v>
      </c>
      <c r="B8" s="3"/>
      <c r="C8" s="4" t="s">
        <v>65</v>
      </c>
      <c r="D8" s="6">
        <v>61900</v>
      </c>
      <c r="E8" s="6">
        <v>66546.54</v>
      </c>
      <c r="F8" s="6">
        <v>59195.69</v>
      </c>
      <c r="G8" s="6">
        <v>7668.11</v>
      </c>
      <c r="H8" s="6">
        <v>4828.19</v>
      </c>
      <c r="I8" s="6">
        <f t="shared" si="2"/>
        <v>-2522.659999999989</v>
      </c>
      <c r="K8" s="2">
        <f t="shared" si="1"/>
        <v>64023.880000000005</v>
      </c>
    </row>
    <row r="9" spans="1:11" ht="12.75">
      <c r="A9" s="3" t="s">
        <v>77</v>
      </c>
      <c r="B9" s="3"/>
      <c r="C9" s="4" t="s">
        <v>66</v>
      </c>
      <c r="D9" s="6">
        <v>9000</v>
      </c>
      <c r="E9" s="6">
        <v>10328.04</v>
      </c>
      <c r="F9" s="6">
        <v>8363.25</v>
      </c>
      <c r="G9" s="6">
        <v>738.92</v>
      </c>
      <c r="H9" s="6">
        <v>675.72</v>
      </c>
      <c r="I9" s="6">
        <f t="shared" si="2"/>
        <v>-1289.0700000000015</v>
      </c>
      <c r="K9" s="2">
        <f t="shared" si="1"/>
        <v>9038.97</v>
      </c>
    </row>
    <row r="10" spans="1:11" ht="12.75">
      <c r="A10" s="3" t="s">
        <v>78</v>
      </c>
      <c r="B10" s="3"/>
      <c r="C10" s="4" t="s">
        <v>163</v>
      </c>
      <c r="D10" s="6">
        <v>5880</v>
      </c>
      <c r="E10" s="6">
        <v>5880</v>
      </c>
      <c r="F10" s="6">
        <v>5876.52</v>
      </c>
      <c r="G10" s="6">
        <v>0</v>
      </c>
      <c r="H10" s="6">
        <v>0</v>
      </c>
      <c r="I10" s="6">
        <f t="shared" si="2"/>
        <v>-3.4799999999995634</v>
      </c>
      <c r="K10" s="2">
        <f t="shared" si="1"/>
        <v>5876.52</v>
      </c>
    </row>
    <row r="11" spans="1:11" ht="12.75">
      <c r="A11" s="3" t="s">
        <v>79</v>
      </c>
      <c r="B11" s="3"/>
      <c r="C11" s="4" t="s">
        <v>67</v>
      </c>
      <c r="D11" s="6">
        <v>23275</v>
      </c>
      <c r="E11" s="6">
        <v>24608.76</v>
      </c>
      <c r="F11" s="6">
        <v>20674.79</v>
      </c>
      <c r="G11" s="6">
        <v>3148.2</v>
      </c>
      <c r="H11" s="6">
        <v>1667.8</v>
      </c>
      <c r="I11" s="6">
        <f t="shared" si="2"/>
        <v>-2266.1699999999983</v>
      </c>
      <c r="K11" s="2">
        <f t="shared" si="1"/>
        <v>22342.59</v>
      </c>
    </row>
    <row r="12" spans="1:11" ht="12.75">
      <c r="A12" s="3" t="s">
        <v>80</v>
      </c>
      <c r="B12" s="3"/>
      <c r="C12" s="4" t="s">
        <v>68</v>
      </c>
      <c r="D12" s="6">
        <v>15772</v>
      </c>
      <c r="E12" s="6">
        <v>16296.74</v>
      </c>
      <c r="F12" s="6">
        <v>16213.24</v>
      </c>
      <c r="G12" s="6">
        <v>0</v>
      </c>
      <c r="H12" s="6">
        <v>0</v>
      </c>
      <c r="I12" s="6">
        <f t="shared" si="2"/>
        <v>-83.5</v>
      </c>
      <c r="K12" s="2">
        <f t="shared" si="1"/>
        <v>16213.24</v>
      </c>
    </row>
    <row r="13" spans="1:11" ht="12.75">
      <c r="A13" s="3" t="s">
        <v>81</v>
      </c>
      <c r="B13" s="3"/>
      <c r="C13" s="4" t="s">
        <v>69</v>
      </c>
      <c r="D13" s="6">
        <v>2000</v>
      </c>
      <c r="E13" s="6">
        <v>9453.32</v>
      </c>
      <c r="F13" s="6">
        <v>9305.57</v>
      </c>
      <c r="G13" s="6">
        <v>0</v>
      </c>
      <c r="H13" s="6">
        <v>0</v>
      </c>
      <c r="I13" s="6">
        <f t="shared" si="2"/>
        <v>-147.75</v>
      </c>
      <c r="K13" s="2">
        <f t="shared" si="1"/>
        <v>9305.57</v>
      </c>
    </row>
    <row r="14" spans="1:11" ht="12.75">
      <c r="A14" s="3" t="s">
        <v>82</v>
      </c>
      <c r="B14" s="3"/>
      <c r="C14" s="4" t="s">
        <v>70</v>
      </c>
      <c r="D14" s="6">
        <v>13363</v>
      </c>
      <c r="E14" s="6">
        <v>13363</v>
      </c>
      <c r="F14" s="6">
        <v>3850.5</v>
      </c>
      <c r="G14" s="6">
        <v>0</v>
      </c>
      <c r="H14" s="6">
        <v>1182.38</v>
      </c>
      <c r="I14" s="6">
        <f t="shared" si="2"/>
        <v>-8330.119999999999</v>
      </c>
      <c r="K14" s="2">
        <f t="shared" si="1"/>
        <v>5032.88</v>
      </c>
    </row>
    <row r="15" spans="1:11" ht="12.75">
      <c r="A15" s="3" t="s">
        <v>83</v>
      </c>
      <c r="B15" s="3"/>
      <c r="C15" s="4" t="s">
        <v>71</v>
      </c>
      <c r="D15" s="6">
        <v>455588</v>
      </c>
      <c r="E15" s="6">
        <f>475975.83+28000</f>
        <v>503975.83</v>
      </c>
      <c r="F15" s="6">
        <v>465768.96</v>
      </c>
      <c r="G15" s="6">
        <v>50773.65</v>
      </c>
      <c r="H15" s="6">
        <v>23343.15</v>
      </c>
      <c r="I15" s="6">
        <f t="shared" si="2"/>
        <v>-14863.719999999972</v>
      </c>
      <c r="K15" s="2">
        <f t="shared" si="1"/>
        <v>489112.11000000004</v>
      </c>
    </row>
    <row r="16" spans="1:11" ht="12.75">
      <c r="A16" s="3" t="s">
        <v>84</v>
      </c>
      <c r="B16" s="3"/>
      <c r="C16" s="4" t="s">
        <v>72</v>
      </c>
      <c r="D16" s="6">
        <v>276360</v>
      </c>
      <c r="E16" s="6">
        <f>284365.68+2000</f>
        <v>286365.68</v>
      </c>
      <c r="F16" s="6">
        <v>278663.78</v>
      </c>
      <c r="G16" s="6">
        <v>20743.39</v>
      </c>
      <c r="H16" s="6">
        <v>3956.8</v>
      </c>
      <c r="I16" s="6">
        <f t="shared" si="2"/>
        <v>-3745.0999999999767</v>
      </c>
      <c r="K16" s="2">
        <f t="shared" si="1"/>
        <v>282620.58</v>
      </c>
    </row>
    <row r="17" spans="1:11" ht="12.75">
      <c r="A17" s="3" t="s">
        <v>85</v>
      </c>
      <c r="B17" s="3"/>
      <c r="C17" s="4" t="s">
        <v>73</v>
      </c>
      <c r="D17" s="6">
        <v>700</v>
      </c>
      <c r="E17" s="6">
        <v>700</v>
      </c>
      <c r="F17" s="6">
        <v>165.12</v>
      </c>
      <c r="G17" s="6">
        <v>0</v>
      </c>
      <c r="H17" s="6">
        <v>0</v>
      </c>
      <c r="I17" s="6">
        <f t="shared" si="2"/>
        <v>-534.88</v>
      </c>
      <c r="K17" s="2">
        <f t="shared" si="1"/>
        <v>165.12</v>
      </c>
    </row>
    <row r="18" spans="1:11" ht="12.75">
      <c r="A18" s="3" t="s">
        <v>86</v>
      </c>
      <c r="B18" s="3"/>
      <c r="C18" s="4" t="s">
        <v>92</v>
      </c>
      <c r="D18" s="6">
        <v>173838</v>
      </c>
      <c r="E18" s="6">
        <v>176217.44</v>
      </c>
      <c r="F18" s="6">
        <v>175185.55</v>
      </c>
      <c r="G18" s="6">
        <v>12306.14</v>
      </c>
      <c r="H18" s="6">
        <v>852.76</v>
      </c>
      <c r="I18" s="6">
        <f t="shared" si="2"/>
        <v>-179.13000000000466</v>
      </c>
      <c r="K18" s="2">
        <f t="shared" si="1"/>
        <v>176038.31</v>
      </c>
    </row>
    <row r="19" spans="1:11" ht="12.75">
      <c r="A19" s="3" t="s">
        <v>87</v>
      </c>
      <c r="B19" s="3"/>
      <c r="C19" s="4" t="s">
        <v>93</v>
      </c>
      <c r="D19" s="6">
        <v>50689</v>
      </c>
      <c r="E19" s="6">
        <v>51289.85</v>
      </c>
      <c r="F19" s="6">
        <v>41616.36</v>
      </c>
      <c r="G19" s="6">
        <v>3895.62</v>
      </c>
      <c r="H19" s="6">
        <v>823.36</v>
      </c>
      <c r="I19" s="6">
        <f t="shared" si="2"/>
        <v>-8850.129999999997</v>
      </c>
      <c r="K19" s="2">
        <f t="shared" si="1"/>
        <v>42439.72</v>
      </c>
    </row>
    <row r="20" spans="1:11" ht="12.75">
      <c r="A20" s="3" t="s">
        <v>88</v>
      </c>
      <c r="B20" s="3"/>
      <c r="C20" s="4" t="s">
        <v>94</v>
      </c>
      <c r="D20" s="6">
        <v>176419</v>
      </c>
      <c r="E20" s="6">
        <f>176456.88+3000</f>
        <v>179456.88</v>
      </c>
      <c r="F20" s="6">
        <v>176993.3</v>
      </c>
      <c r="G20" s="6">
        <v>6679.86</v>
      </c>
      <c r="H20" s="6">
        <v>2223.6</v>
      </c>
      <c r="I20" s="6">
        <f t="shared" si="2"/>
        <v>-239.98000000001048</v>
      </c>
      <c r="K20" s="2">
        <f t="shared" si="1"/>
        <v>179216.9</v>
      </c>
    </row>
    <row r="21" spans="1:11" ht="12.75">
      <c r="A21" s="3" t="s">
        <v>89</v>
      </c>
      <c r="B21" s="3"/>
      <c r="C21" s="4" t="s">
        <v>95</v>
      </c>
      <c r="D21" s="6">
        <v>39229</v>
      </c>
      <c r="E21" s="6">
        <v>43144.51</v>
      </c>
      <c r="F21" s="6">
        <v>41865.38</v>
      </c>
      <c r="G21" s="6">
        <v>2654.9</v>
      </c>
      <c r="H21" s="6">
        <v>970.46</v>
      </c>
      <c r="I21" s="6">
        <f t="shared" si="2"/>
        <v>-308.67000000000553</v>
      </c>
      <c r="K21" s="2">
        <f t="shared" si="1"/>
        <v>42835.84</v>
      </c>
    </row>
    <row r="22" spans="1:11" ht="12.75">
      <c r="A22" s="3" t="s">
        <v>90</v>
      </c>
      <c r="B22" s="3"/>
      <c r="C22" s="4" t="s">
        <v>96</v>
      </c>
      <c r="D22" s="6">
        <v>26600</v>
      </c>
      <c r="E22" s="6">
        <v>26600</v>
      </c>
      <c r="F22" s="6">
        <v>25525.37</v>
      </c>
      <c r="G22" s="6">
        <v>249.3</v>
      </c>
      <c r="H22" s="6">
        <v>0</v>
      </c>
      <c r="I22" s="6">
        <f t="shared" si="2"/>
        <v>-1074.630000000001</v>
      </c>
      <c r="K22" s="2">
        <f t="shared" si="1"/>
        <v>25525.37</v>
      </c>
    </row>
    <row r="23" spans="1:11" ht="12.75">
      <c r="A23" s="3" t="s">
        <v>91</v>
      </c>
      <c r="B23" s="3"/>
      <c r="C23" s="4" t="s">
        <v>97</v>
      </c>
      <c r="D23" s="6">
        <v>500</v>
      </c>
      <c r="E23" s="6">
        <v>3953.68</v>
      </c>
      <c r="F23" s="6">
        <v>3326.83</v>
      </c>
      <c r="G23" s="6">
        <v>87.16</v>
      </c>
      <c r="H23" s="6">
        <v>144.96</v>
      </c>
      <c r="I23" s="6">
        <f t="shared" si="2"/>
        <v>-481.8899999999999</v>
      </c>
      <c r="K23" s="2">
        <f t="shared" si="1"/>
        <v>3471.79</v>
      </c>
    </row>
    <row r="24" spans="1:11" ht="12.75">
      <c r="A24" s="3" t="s">
        <v>101</v>
      </c>
      <c r="B24" s="3"/>
      <c r="C24" s="4" t="s">
        <v>98</v>
      </c>
      <c r="D24" s="6">
        <v>800</v>
      </c>
      <c r="E24" s="6">
        <v>800</v>
      </c>
      <c r="F24" s="6">
        <v>247.26</v>
      </c>
      <c r="G24" s="6">
        <v>2.73</v>
      </c>
      <c r="H24" s="6">
        <v>0</v>
      </c>
      <c r="I24" s="6">
        <f t="shared" si="2"/>
        <v>-552.74</v>
      </c>
      <c r="K24" s="2">
        <f t="shared" si="1"/>
        <v>247.26</v>
      </c>
    </row>
    <row r="25" spans="1:11" ht="12.75">
      <c r="A25" s="3" t="s">
        <v>102</v>
      </c>
      <c r="B25" s="3"/>
      <c r="C25" s="4" t="s">
        <v>99</v>
      </c>
      <c r="D25" s="6">
        <v>2500</v>
      </c>
      <c r="E25" s="6">
        <v>3000</v>
      </c>
      <c r="F25" s="6">
        <v>2662.88</v>
      </c>
      <c r="G25" s="6">
        <v>0</v>
      </c>
      <c r="H25" s="6">
        <v>0</v>
      </c>
      <c r="I25" s="6">
        <f t="shared" si="2"/>
        <v>-337.1199999999999</v>
      </c>
      <c r="K25" s="2">
        <f t="shared" si="1"/>
        <v>2662.88</v>
      </c>
    </row>
    <row r="26" spans="1:11" s="5" customFormat="1" ht="12.75">
      <c r="A26" s="8"/>
      <c r="B26" s="8"/>
      <c r="C26" s="5" t="s">
        <v>127</v>
      </c>
      <c r="D26" s="11">
        <f aca="true" t="shared" si="3" ref="D26:I26">SUM(D6:D25)</f>
        <v>2260026</v>
      </c>
      <c r="E26" s="11">
        <f t="shared" si="3"/>
        <v>2380367.6599999997</v>
      </c>
      <c r="F26" s="11">
        <f t="shared" si="3"/>
        <v>2257157.0100000002</v>
      </c>
      <c r="G26" s="11">
        <f t="shared" si="3"/>
        <v>192317.35</v>
      </c>
      <c r="H26" s="11">
        <f t="shared" si="3"/>
        <v>71517.87000000001</v>
      </c>
      <c r="I26" s="11">
        <f t="shared" si="3"/>
        <v>-51692.77999999987</v>
      </c>
      <c r="K26" s="2">
        <f t="shared" si="1"/>
        <v>2328674.8800000004</v>
      </c>
    </row>
    <row r="27" spans="1:11" ht="12.75">
      <c r="A27" s="3" t="s">
        <v>103</v>
      </c>
      <c r="B27" s="3"/>
      <c r="C27" s="4" t="s">
        <v>100</v>
      </c>
      <c r="D27" s="6">
        <v>298946</v>
      </c>
      <c r="E27" s="6">
        <f>298446-33000</f>
        <v>265446</v>
      </c>
      <c r="F27" s="6">
        <v>253146</v>
      </c>
      <c r="G27" s="6">
        <v>0</v>
      </c>
      <c r="H27" s="6">
        <v>0</v>
      </c>
      <c r="I27" s="6">
        <f t="shared" si="2"/>
        <v>-12300</v>
      </c>
      <c r="K27" s="2">
        <f t="shared" si="1"/>
        <v>253146</v>
      </c>
    </row>
    <row r="28" spans="1:11" ht="12.75">
      <c r="A28" s="3"/>
      <c r="B28" s="3"/>
      <c r="K28" s="2"/>
    </row>
    <row r="30" spans="1:11" s="1" customFormat="1" ht="12.75">
      <c r="A30" s="1">
        <v>200</v>
      </c>
      <c r="C30" s="1" t="s">
        <v>29</v>
      </c>
      <c r="D30" s="2">
        <f aca="true" t="shared" si="4" ref="D30:I30">SUM(D31:D42)</f>
        <v>287345.45999999996</v>
      </c>
      <c r="E30" s="2">
        <f t="shared" si="4"/>
        <v>294315.0999999999</v>
      </c>
      <c r="F30" s="2">
        <f t="shared" si="4"/>
        <v>219586.86999999997</v>
      </c>
      <c r="G30" s="2">
        <f t="shared" si="4"/>
        <v>19831.730000000003</v>
      </c>
      <c r="H30" s="2">
        <f t="shared" si="4"/>
        <v>2403.73</v>
      </c>
      <c r="I30" s="2">
        <f t="shared" si="4"/>
        <v>-72324.50000000003</v>
      </c>
      <c r="K30" s="2">
        <f>F30+H30</f>
        <v>221990.59999999998</v>
      </c>
    </row>
    <row r="31" spans="1:11" ht="12.75">
      <c r="A31" s="4">
        <v>201</v>
      </c>
      <c r="C31" s="4" t="s">
        <v>30</v>
      </c>
      <c r="D31" s="6">
        <v>169986</v>
      </c>
      <c r="E31" s="6">
        <v>170071.85</v>
      </c>
      <c r="F31" s="6">
        <v>152220.11</v>
      </c>
      <c r="G31" s="6">
        <v>14031.6</v>
      </c>
      <c r="H31" s="6">
        <v>100</v>
      </c>
      <c r="I31" s="6">
        <f aca="true" t="shared" si="5" ref="I31:I47">F31+H31-E31</f>
        <v>-17751.74000000002</v>
      </c>
      <c r="K31" s="2">
        <f aca="true" t="shared" si="6" ref="K31:K42">F31+H31</f>
        <v>152320.11</v>
      </c>
    </row>
    <row r="32" spans="1:11" ht="12.75">
      <c r="A32" s="4">
        <v>202</v>
      </c>
      <c r="C32" s="4" t="s">
        <v>31</v>
      </c>
      <c r="D32" s="6">
        <v>26000</v>
      </c>
      <c r="E32" s="6">
        <v>26000</v>
      </c>
      <c r="F32" s="6">
        <v>0</v>
      </c>
      <c r="G32" s="6">
        <v>0</v>
      </c>
      <c r="H32" s="6">
        <v>0</v>
      </c>
      <c r="I32" s="6">
        <f t="shared" si="5"/>
        <v>-26000</v>
      </c>
      <c r="K32" s="2">
        <f t="shared" si="6"/>
        <v>0</v>
      </c>
    </row>
    <row r="33" spans="1:11" ht="12.75">
      <c r="A33" s="4">
        <v>204</v>
      </c>
      <c r="C33" s="4" t="s">
        <v>105</v>
      </c>
      <c r="D33" s="6">
        <v>2399</v>
      </c>
      <c r="E33" s="6">
        <v>2399</v>
      </c>
      <c r="F33" s="6">
        <v>2398.27</v>
      </c>
      <c r="G33" s="6">
        <v>0</v>
      </c>
      <c r="H33" s="6">
        <v>0</v>
      </c>
      <c r="I33" s="6">
        <f t="shared" si="5"/>
        <v>-0.7300000000000182</v>
      </c>
      <c r="K33" s="2">
        <f t="shared" si="6"/>
        <v>2398.27</v>
      </c>
    </row>
    <row r="34" spans="1:11" ht="12.75">
      <c r="A34" s="4">
        <v>206</v>
      </c>
      <c r="C34" s="4" t="s">
        <v>104</v>
      </c>
      <c r="D34" s="6">
        <v>0.46</v>
      </c>
      <c r="E34" s="6">
        <v>0.46</v>
      </c>
      <c r="F34" s="6">
        <v>0</v>
      </c>
      <c r="G34" s="6">
        <v>0</v>
      </c>
      <c r="H34" s="6">
        <v>0</v>
      </c>
      <c r="I34" s="6">
        <f t="shared" si="5"/>
        <v>-0.46</v>
      </c>
      <c r="K34" s="2">
        <f t="shared" si="6"/>
        <v>0</v>
      </c>
    </row>
    <row r="35" spans="1:11" ht="12.75">
      <c r="A35" s="4">
        <v>207</v>
      </c>
      <c r="C35" s="4" t="s">
        <v>32</v>
      </c>
      <c r="D35" s="6">
        <v>100</v>
      </c>
      <c r="E35" s="6">
        <v>100</v>
      </c>
      <c r="F35" s="6">
        <v>0</v>
      </c>
      <c r="G35" s="6">
        <v>0</v>
      </c>
      <c r="H35" s="6">
        <v>0</v>
      </c>
      <c r="I35" s="6">
        <f t="shared" si="5"/>
        <v>-100</v>
      </c>
      <c r="K35" s="2">
        <f t="shared" si="6"/>
        <v>0</v>
      </c>
    </row>
    <row r="36" spans="1:11" ht="12.75">
      <c r="A36" s="4">
        <v>208</v>
      </c>
      <c r="C36" s="4" t="s">
        <v>43</v>
      </c>
      <c r="D36" s="6">
        <v>175</v>
      </c>
      <c r="E36" s="6">
        <v>175</v>
      </c>
      <c r="F36" s="6">
        <v>0</v>
      </c>
      <c r="G36" s="6">
        <v>0</v>
      </c>
      <c r="H36" s="6">
        <v>0</v>
      </c>
      <c r="I36" s="6">
        <f t="shared" si="5"/>
        <v>-175</v>
      </c>
      <c r="K36" s="2">
        <f t="shared" si="6"/>
        <v>0</v>
      </c>
    </row>
    <row r="37" spans="1:11" ht="12.75">
      <c r="A37" s="4">
        <v>209</v>
      </c>
      <c r="C37" s="4" t="s">
        <v>106</v>
      </c>
      <c r="D37" s="6">
        <v>51100</v>
      </c>
      <c r="E37" s="6">
        <v>51100</v>
      </c>
      <c r="F37" s="6">
        <v>35000</v>
      </c>
      <c r="G37" s="6">
        <v>0</v>
      </c>
      <c r="H37" s="6">
        <v>0</v>
      </c>
      <c r="I37" s="6">
        <f t="shared" si="5"/>
        <v>-16100</v>
      </c>
      <c r="K37" s="2">
        <f t="shared" si="6"/>
        <v>35000</v>
      </c>
    </row>
    <row r="38" spans="1:11" ht="12.75">
      <c r="A38" s="4">
        <v>211</v>
      </c>
      <c r="C38" s="4" t="s">
        <v>107</v>
      </c>
      <c r="D38" s="6">
        <v>2845</v>
      </c>
      <c r="E38" s="6">
        <v>7309.15</v>
      </c>
      <c r="F38" s="6">
        <v>6179.99</v>
      </c>
      <c r="G38" s="6">
        <v>0</v>
      </c>
      <c r="H38" s="6">
        <v>0</v>
      </c>
      <c r="I38" s="6">
        <f t="shared" si="5"/>
        <v>-1129.1599999999999</v>
      </c>
      <c r="K38" s="2">
        <f t="shared" si="6"/>
        <v>6179.99</v>
      </c>
    </row>
    <row r="39" spans="1:11" ht="12.75">
      <c r="A39" s="4">
        <v>212</v>
      </c>
      <c r="C39" s="4" t="s">
        <v>108</v>
      </c>
      <c r="D39" s="6">
        <v>4915</v>
      </c>
      <c r="E39" s="6">
        <v>6715</v>
      </c>
      <c r="F39" s="6">
        <v>3067.53</v>
      </c>
      <c r="G39" s="6">
        <v>1137.96</v>
      </c>
      <c r="H39" s="6">
        <v>1750.38</v>
      </c>
      <c r="I39" s="6">
        <f t="shared" si="5"/>
        <v>-1897.0900000000001</v>
      </c>
      <c r="K39" s="2">
        <f t="shared" si="6"/>
        <v>4817.91</v>
      </c>
    </row>
    <row r="40" spans="1:11" ht="12.75">
      <c r="A40" s="4">
        <v>213</v>
      </c>
      <c r="C40" s="4" t="s">
        <v>109</v>
      </c>
      <c r="D40" s="6">
        <v>6715</v>
      </c>
      <c r="E40" s="6">
        <v>6715</v>
      </c>
      <c r="F40" s="6">
        <v>2136.98</v>
      </c>
      <c r="G40" s="6">
        <v>0</v>
      </c>
      <c r="H40" s="6">
        <v>0</v>
      </c>
      <c r="I40" s="6">
        <f t="shared" si="5"/>
        <v>-4578.02</v>
      </c>
      <c r="K40" s="2">
        <f t="shared" si="6"/>
        <v>2136.98</v>
      </c>
    </row>
    <row r="41" spans="1:11" ht="12.75">
      <c r="A41" s="4">
        <v>214</v>
      </c>
      <c r="C41" s="4" t="s">
        <v>37</v>
      </c>
      <c r="D41" s="6">
        <v>4900</v>
      </c>
      <c r="E41" s="6">
        <v>5007.97</v>
      </c>
      <c r="F41" s="6">
        <v>3581.97</v>
      </c>
      <c r="G41" s="6">
        <v>0</v>
      </c>
      <c r="H41" s="6">
        <v>0</v>
      </c>
      <c r="I41" s="6">
        <f t="shared" si="5"/>
        <v>-1426.0000000000005</v>
      </c>
      <c r="K41" s="2">
        <f t="shared" si="6"/>
        <v>3581.97</v>
      </c>
    </row>
    <row r="42" spans="1:11" ht="12.75">
      <c r="A42" s="4">
        <v>215</v>
      </c>
      <c r="C42" s="4" t="s">
        <v>38</v>
      </c>
      <c r="D42" s="6">
        <v>18210</v>
      </c>
      <c r="E42" s="6">
        <v>18721.67</v>
      </c>
      <c r="F42" s="6">
        <v>15002.02</v>
      </c>
      <c r="G42" s="6">
        <v>4662.17</v>
      </c>
      <c r="H42" s="6">
        <v>553.35</v>
      </c>
      <c r="I42" s="6">
        <f t="shared" si="5"/>
        <v>-3166.2999999999975</v>
      </c>
      <c r="K42" s="2">
        <f t="shared" si="6"/>
        <v>15555.37</v>
      </c>
    </row>
    <row r="45" spans="1:11" s="1" customFormat="1" ht="12.75">
      <c r="A45" s="1">
        <v>300</v>
      </c>
      <c r="C45" s="1" t="s">
        <v>44</v>
      </c>
      <c r="D45" s="2">
        <f aca="true" t="shared" si="7" ref="D45:I45">SUM(D46:D47)</f>
        <v>525213</v>
      </c>
      <c r="E45" s="2">
        <f t="shared" si="7"/>
        <v>530673</v>
      </c>
      <c r="F45" s="2">
        <f t="shared" si="7"/>
        <v>126790.2</v>
      </c>
      <c r="G45" s="2">
        <f t="shared" si="7"/>
        <v>6.79</v>
      </c>
      <c r="H45" s="53">
        <f t="shared" si="7"/>
        <v>0</v>
      </c>
      <c r="I45" s="2">
        <f t="shared" si="7"/>
        <v>-403882.8</v>
      </c>
      <c r="K45" s="2">
        <f>F45+H45</f>
        <v>126790.2</v>
      </c>
    </row>
    <row r="46" spans="1:11" ht="12.75">
      <c r="A46" s="4">
        <v>301</v>
      </c>
      <c r="C46" s="4" t="s">
        <v>112</v>
      </c>
      <c r="D46" s="6">
        <v>125213</v>
      </c>
      <c r="E46" s="6">
        <v>125213</v>
      </c>
      <c r="F46" s="6">
        <v>121330.2</v>
      </c>
      <c r="G46" s="6">
        <v>6.79</v>
      </c>
      <c r="H46" s="6">
        <v>0</v>
      </c>
      <c r="I46" s="6">
        <f t="shared" si="5"/>
        <v>-3882.800000000003</v>
      </c>
      <c r="K46" s="2">
        <f>F46+H46</f>
        <v>121330.2</v>
      </c>
    </row>
    <row r="47" spans="1:11" ht="12.75">
      <c r="A47" s="4">
        <v>302</v>
      </c>
      <c r="C47" s="4" t="s">
        <v>57</v>
      </c>
      <c r="D47" s="6">
        <v>400000</v>
      </c>
      <c r="E47" s="6">
        <v>405460</v>
      </c>
      <c r="F47" s="6">
        <v>5460</v>
      </c>
      <c r="G47" s="6">
        <v>0</v>
      </c>
      <c r="H47" s="6">
        <v>0</v>
      </c>
      <c r="I47" s="6">
        <f t="shared" si="5"/>
        <v>-400000</v>
      </c>
      <c r="K47" s="2">
        <f>F47+H47</f>
        <v>5460</v>
      </c>
    </row>
    <row r="49" spans="1:11" s="1" customFormat="1" ht="12.75">
      <c r="A49" s="1">
        <v>400</v>
      </c>
      <c r="C49" s="1" t="s">
        <v>45</v>
      </c>
      <c r="D49" s="2">
        <f>D51+D53+D68+D80+D84+D86+D88</f>
        <v>1095673</v>
      </c>
      <c r="E49" s="2">
        <f>E51+E53+E68+E80+E84+E86+E88</f>
        <v>1187329.3599999999</v>
      </c>
      <c r="F49" s="2">
        <f>F51+F53+F68+F80+F84+F86+F88</f>
        <v>470036.5</v>
      </c>
      <c r="G49" s="2">
        <f>G51+G53+G68+G80+G84+G86+G88</f>
        <v>11958.630000000001</v>
      </c>
      <c r="H49" s="2">
        <f>H51+H53+H68+H80+H84+H86+H88</f>
        <v>112949.29000000001</v>
      </c>
      <c r="I49" s="2">
        <f>F49+H49-E49</f>
        <v>-604343.5699999998</v>
      </c>
      <c r="K49" s="2">
        <f>F49+H49</f>
        <v>582985.79</v>
      </c>
    </row>
    <row r="50" spans="4:9" s="1" customFormat="1" ht="12.75">
      <c r="D50" s="2"/>
      <c r="E50" s="2"/>
      <c r="F50" s="2"/>
      <c r="G50" s="2"/>
      <c r="H50" s="2"/>
      <c r="I50" s="2"/>
    </row>
    <row r="51" spans="1:11" s="1" customFormat="1" ht="12.75">
      <c r="A51" s="1">
        <v>402</v>
      </c>
      <c r="C51" s="1" t="s">
        <v>113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f>F51+H51-E51</f>
        <v>0</v>
      </c>
      <c r="K51" s="2">
        <f>F51+H51</f>
        <v>0</v>
      </c>
    </row>
    <row r="53" spans="1:11" s="1" customFormat="1" ht="12.75">
      <c r="A53" s="1">
        <v>403</v>
      </c>
      <c r="C53" s="1" t="s">
        <v>46</v>
      </c>
      <c r="D53" s="2">
        <f aca="true" t="shared" si="8" ref="D53:I53">SUM(D54:D63)</f>
        <v>154600</v>
      </c>
      <c r="E53" s="2">
        <f t="shared" si="8"/>
        <v>163188.99</v>
      </c>
      <c r="F53" s="2">
        <f t="shared" si="8"/>
        <v>45573.91</v>
      </c>
      <c r="G53" s="2">
        <f t="shared" si="8"/>
        <v>9912.77</v>
      </c>
      <c r="H53" s="2">
        <f t="shared" si="8"/>
        <v>82968.79000000001</v>
      </c>
      <c r="I53" s="2">
        <f t="shared" si="8"/>
        <v>-37796.28999999999</v>
      </c>
      <c r="K53" s="2">
        <f aca="true" t="shared" si="9" ref="K53:K63">F53+H53</f>
        <v>128542.70000000001</v>
      </c>
    </row>
    <row r="54" spans="1:11" ht="12.75">
      <c r="A54" s="3" t="s">
        <v>74</v>
      </c>
      <c r="B54" s="3"/>
      <c r="C54" s="4" t="s">
        <v>63</v>
      </c>
      <c r="D54" s="6">
        <v>5700</v>
      </c>
      <c r="E54" s="6">
        <v>5700</v>
      </c>
      <c r="F54" s="6">
        <v>5656.2</v>
      </c>
      <c r="G54" s="6">
        <v>0</v>
      </c>
      <c r="H54" s="6">
        <v>0</v>
      </c>
      <c r="I54" s="6">
        <f aca="true" t="shared" si="10" ref="I54:I63">F54+H54-E54</f>
        <v>-43.80000000000018</v>
      </c>
      <c r="K54" s="2">
        <f t="shared" si="9"/>
        <v>5656.2</v>
      </c>
    </row>
    <row r="55" spans="1:11" ht="12.75">
      <c r="A55" s="3" t="s">
        <v>75</v>
      </c>
      <c r="B55" s="3"/>
      <c r="C55" s="4" t="s">
        <v>64</v>
      </c>
      <c r="D55" s="6">
        <v>34450</v>
      </c>
      <c r="E55" s="6">
        <v>34450</v>
      </c>
      <c r="F55" s="6">
        <v>13718.02</v>
      </c>
      <c r="G55" s="6">
        <v>9856.77</v>
      </c>
      <c r="H55" s="6">
        <v>19775</v>
      </c>
      <c r="I55" s="6">
        <f t="shared" si="10"/>
        <v>-956.9799999999959</v>
      </c>
      <c r="K55" s="2">
        <f t="shared" si="9"/>
        <v>33493.020000000004</v>
      </c>
    </row>
    <row r="56" spans="1:11" ht="12.75">
      <c r="A56" s="3" t="s">
        <v>76</v>
      </c>
      <c r="B56" s="3"/>
      <c r="C56" s="4" t="s">
        <v>68</v>
      </c>
      <c r="D56" s="6">
        <v>2500</v>
      </c>
      <c r="E56" s="6">
        <v>2500</v>
      </c>
      <c r="F56" s="6">
        <v>0</v>
      </c>
      <c r="G56" s="6">
        <v>0</v>
      </c>
      <c r="H56" s="6">
        <v>0</v>
      </c>
      <c r="I56" s="6">
        <f t="shared" si="10"/>
        <v>-2500</v>
      </c>
      <c r="K56" s="2">
        <f t="shared" si="9"/>
        <v>0</v>
      </c>
    </row>
    <row r="57" spans="1:11" ht="12.75">
      <c r="A57" s="3"/>
      <c r="B57" s="3"/>
      <c r="C57" s="4" t="s">
        <v>161</v>
      </c>
      <c r="D57" s="6">
        <v>0</v>
      </c>
      <c r="E57" s="6">
        <v>0</v>
      </c>
      <c r="F57" s="6">
        <v>3150</v>
      </c>
      <c r="G57" s="6">
        <v>0</v>
      </c>
      <c r="H57" s="6">
        <v>0</v>
      </c>
      <c r="K57" s="2">
        <f t="shared" si="9"/>
        <v>3150</v>
      </c>
    </row>
    <row r="58" spans="1:11" ht="12.75">
      <c r="A58" s="3" t="s">
        <v>77</v>
      </c>
      <c r="B58" s="3"/>
      <c r="C58" s="4" t="s">
        <v>52</v>
      </c>
      <c r="D58" s="6">
        <v>37000</v>
      </c>
      <c r="E58" s="6">
        <v>43732.99</v>
      </c>
      <c r="F58" s="6">
        <v>11528.69</v>
      </c>
      <c r="G58" s="6">
        <v>56</v>
      </c>
      <c r="H58" s="6">
        <v>17879.79</v>
      </c>
      <c r="I58" s="6">
        <f t="shared" si="10"/>
        <v>-14324.509999999995</v>
      </c>
      <c r="K58" s="2">
        <f t="shared" si="9"/>
        <v>29408.480000000003</v>
      </c>
    </row>
    <row r="59" spans="1:11" ht="12.75">
      <c r="A59" s="3" t="s">
        <v>78</v>
      </c>
      <c r="B59" s="3"/>
      <c r="C59" s="4" t="s">
        <v>114</v>
      </c>
      <c r="D59" s="6">
        <v>3850</v>
      </c>
      <c r="E59" s="6">
        <v>5706</v>
      </c>
      <c r="F59" s="6">
        <v>1130.25</v>
      </c>
      <c r="G59" s="6">
        <v>0</v>
      </c>
      <c r="H59" s="6">
        <v>0</v>
      </c>
      <c r="I59" s="6">
        <f t="shared" si="10"/>
        <v>-4575.75</v>
      </c>
      <c r="K59" s="2">
        <f t="shared" si="9"/>
        <v>1130.25</v>
      </c>
    </row>
    <row r="60" spans="1:11" ht="12.75">
      <c r="A60" s="3" t="s">
        <v>79</v>
      </c>
      <c r="B60" s="3"/>
      <c r="C60" s="4" t="s">
        <v>72</v>
      </c>
      <c r="D60" s="6">
        <v>50000</v>
      </c>
      <c r="E60" s="6">
        <v>50000</v>
      </c>
      <c r="F60" s="6">
        <v>0</v>
      </c>
      <c r="G60" s="6">
        <v>0</v>
      </c>
      <c r="H60" s="6">
        <v>45314</v>
      </c>
      <c r="I60" s="6">
        <f t="shared" si="10"/>
        <v>-4686</v>
      </c>
      <c r="K60" s="2">
        <f t="shared" si="9"/>
        <v>45314</v>
      </c>
    </row>
    <row r="61" spans="1:11" ht="12.75">
      <c r="A61" s="3" t="s">
        <v>80</v>
      </c>
      <c r="B61" s="3"/>
      <c r="C61" s="4" t="s">
        <v>92</v>
      </c>
      <c r="D61" s="6">
        <v>3000</v>
      </c>
      <c r="E61" s="6">
        <v>3000</v>
      </c>
      <c r="F61" s="6">
        <v>350</v>
      </c>
      <c r="G61" s="6">
        <v>0</v>
      </c>
      <c r="H61" s="6">
        <v>0</v>
      </c>
      <c r="I61" s="6">
        <f t="shared" si="10"/>
        <v>-2650</v>
      </c>
      <c r="K61" s="2">
        <f t="shared" si="9"/>
        <v>350</v>
      </c>
    </row>
    <row r="62" spans="1:11" ht="12.75">
      <c r="A62" s="3" t="s">
        <v>81</v>
      </c>
      <c r="B62" s="3"/>
      <c r="C62" s="4" t="s">
        <v>94</v>
      </c>
      <c r="D62" s="6">
        <v>5100</v>
      </c>
      <c r="E62" s="6">
        <v>5100</v>
      </c>
      <c r="F62" s="6">
        <v>2095.75</v>
      </c>
      <c r="G62" s="6">
        <v>0</v>
      </c>
      <c r="H62" s="6">
        <v>0</v>
      </c>
      <c r="I62" s="6">
        <f t="shared" si="10"/>
        <v>-3004.25</v>
      </c>
      <c r="K62" s="2">
        <f t="shared" si="9"/>
        <v>2095.75</v>
      </c>
    </row>
    <row r="63" spans="1:11" ht="12.75">
      <c r="A63" s="3" t="s">
        <v>82</v>
      </c>
      <c r="B63" s="3"/>
      <c r="C63" s="4" t="s">
        <v>95</v>
      </c>
      <c r="D63" s="6">
        <v>13000</v>
      </c>
      <c r="E63" s="6">
        <v>13000</v>
      </c>
      <c r="F63" s="6">
        <v>7945</v>
      </c>
      <c r="G63" s="6">
        <v>0</v>
      </c>
      <c r="H63" s="6">
        <v>0</v>
      </c>
      <c r="I63" s="6">
        <f t="shared" si="10"/>
        <v>-5055</v>
      </c>
      <c r="K63" s="2">
        <f t="shared" si="9"/>
        <v>7945</v>
      </c>
    </row>
    <row r="65" spans="3:9" ht="12.75">
      <c r="C65" s="10" t="s">
        <v>124</v>
      </c>
      <c r="D65" s="7" t="s">
        <v>17</v>
      </c>
      <c r="E65" s="7" t="s">
        <v>19</v>
      </c>
      <c r="F65" s="7" t="s">
        <v>20</v>
      </c>
      <c r="G65" s="7" t="s">
        <v>22</v>
      </c>
      <c r="H65" s="7" t="s">
        <v>20</v>
      </c>
      <c r="I65" s="7" t="s">
        <v>27</v>
      </c>
    </row>
    <row r="66" spans="3:9" ht="12.75">
      <c r="C66" s="10" t="s">
        <v>125</v>
      </c>
      <c r="D66" s="7" t="s">
        <v>18</v>
      </c>
      <c r="E66" s="7" t="s">
        <v>18</v>
      </c>
      <c r="F66" s="7" t="s">
        <v>21</v>
      </c>
      <c r="G66" s="7" t="s">
        <v>23</v>
      </c>
      <c r="H66" s="7" t="s">
        <v>24</v>
      </c>
      <c r="I66" s="7" t="s">
        <v>28</v>
      </c>
    </row>
    <row r="67" spans="1:2" ht="12">
      <c r="A67" s="5" t="s">
        <v>60</v>
      </c>
      <c r="B67" s="5"/>
    </row>
    <row r="68" spans="1:11" s="1" customFormat="1" ht="12.75">
      <c r="A68" s="1">
        <v>404</v>
      </c>
      <c r="C68" s="1" t="s">
        <v>115</v>
      </c>
      <c r="D68" s="2">
        <f aca="true" t="shared" si="11" ref="D68:I68">SUM(D69:D78)</f>
        <v>347612</v>
      </c>
      <c r="E68" s="2">
        <f t="shared" si="11"/>
        <v>387612</v>
      </c>
      <c r="F68" s="2">
        <f t="shared" si="11"/>
        <v>260594.81</v>
      </c>
      <c r="G68" s="2">
        <f t="shared" si="11"/>
        <v>261.34</v>
      </c>
      <c r="H68" s="2">
        <f t="shared" si="11"/>
        <v>29980.5</v>
      </c>
      <c r="I68" s="2">
        <f t="shared" si="11"/>
        <v>18933.309999999998</v>
      </c>
      <c r="K68" s="2">
        <f aca="true" t="shared" si="12" ref="K68:K78">F68+H68</f>
        <v>290575.31</v>
      </c>
    </row>
    <row r="69" spans="1:11" ht="12.75">
      <c r="A69" s="3" t="s">
        <v>74</v>
      </c>
      <c r="B69" s="3"/>
      <c r="C69" s="4" t="s">
        <v>63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f aca="true" t="shared" si="13" ref="I69:I84">F69+H69-E69</f>
        <v>0</v>
      </c>
      <c r="K69" s="2">
        <f t="shared" si="12"/>
        <v>0</v>
      </c>
    </row>
    <row r="70" spans="1:11" ht="12.75">
      <c r="A70" s="3"/>
      <c r="B70" s="3"/>
      <c r="C70" s="4" t="s">
        <v>64</v>
      </c>
      <c r="D70" s="6">
        <v>0</v>
      </c>
      <c r="E70" s="6">
        <v>0</v>
      </c>
      <c r="F70" s="6">
        <v>2000</v>
      </c>
      <c r="G70" s="6">
        <v>0</v>
      </c>
      <c r="H70" s="6">
        <v>0</v>
      </c>
      <c r="I70" s="6">
        <f t="shared" si="13"/>
        <v>2000</v>
      </c>
      <c r="K70" s="2">
        <f t="shared" si="12"/>
        <v>2000</v>
      </c>
    </row>
    <row r="71" spans="1:11" ht="12.75">
      <c r="A71" s="3"/>
      <c r="B71" s="3"/>
      <c r="C71" s="4" t="s">
        <v>69</v>
      </c>
      <c r="D71" s="6">
        <v>20000</v>
      </c>
      <c r="E71" s="6">
        <v>20000</v>
      </c>
      <c r="F71" s="6">
        <v>8100</v>
      </c>
      <c r="G71" s="6">
        <v>0</v>
      </c>
      <c r="H71" s="6">
        <v>0</v>
      </c>
      <c r="K71" s="2">
        <f t="shared" si="12"/>
        <v>8100</v>
      </c>
    </row>
    <row r="72" spans="1:11" ht="12.75">
      <c r="A72" s="3" t="s">
        <v>75</v>
      </c>
      <c r="B72" s="3"/>
      <c r="C72" s="4" t="s">
        <v>52</v>
      </c>
      <c r="D72" s="6">
        <v>0</v>
      </c>
      <c r="E72" s="6">
        <v>0</v>
      </c>
      <c r="F72" s="6">
        <v>89145.05</v>
      </c>
      <c r="G72" s="6">
        <v>0</v>
      </c>
      <c r="H72" s="6">
        <v>0</v>
      </c>
      <c r="I72" s="6">
        <f t="shared" si="13"/>
        <v>89145.05</v>
      </c>
      <c r="K72" s="2">
        <f t="shared" si="12"/>
        <v>89145.05</v>
      </c>
    </row>
    <row r="73" spans="1:11" ht="12.75">
      <c r="A73" s="3"/>
      <c r="B73" s="3"/>
      <c r="C73" s="4" t="s">
        <v>117</v>
      </c>
      <c r="D73" s="6">
        <v>104070</v>
      </c>
      <c r="E73" s="6">
        <v>104070</v>
      </c>
      <c r="F73" s="6">
        <v>0</v>
      </c>
      <c r="G73" s="6">
        <v>0</v>
      </c>
      <c r="H73" s="6">
        <v>0</v>
      </c>
      <c r="K73" s="2">
        <f t="shared" si="12"/>
        <v>0</v>
      </c>
    </row>
    <row r="74" spans="1:11" ht="12.75">
      <c r="A74" s="3" t="s">
        <v>76</v>
      </c>
      <c r="B74" s="3"/>
      <c r="C74" s="4" t="s">
        <v>72</v>
      </c>
      <c r="D74" s="6">
        <v>0</v>
      </c>
      <c r="E74" s="6">
        <v>0</v>
      </c>
      <c r="F74" s="6">
        <v>5310.77</v>
      </c>
      <c r="G74" s="6">
        <v>0</v>
      </c>
      <c r="H74" s="6">
        <v>16500</v>
      </c>
      <c r="I74" s="6">
        <f t="shared" si="13"/>
        <v>21810.77</v>
      </c>
      <c r="K74" s="2">
        <f t="shared" si="12"/>
        <v>21810.77</v>
      </c>
    </row>
    <row r="75" spans="1:11" ht="12.75">
      <c r="A75" s="3" t="s">
        <v>77</v>
      </c>
      <c r="B75" s="3"/>
      <c r="C75" s="4" t="s">
        <v>73</v>
      </c>
      <c r="D75" s="6">
        <v>10000</v>
      </c>
      <c r="E75" s="6">
        <v>10000</v>
      </c>
      <c r="F75" s="6">
        <v>0</v>
      </c>
      <c r="G75" s="6">
        <v>0</v>
      </c>
      <c r="H75" s="6">
        <v>13480.5</v>
      </c>
      <c r="I75" s="6">
        <f t="shared" si="13"/>
        <v>3480.5</v>
      </c>
      <c r="K75" s="2">
        <f t="shared" si="12"/>
        <v>13480.5</v>
      </c>
    </row>
    <row r="76" spans="1:11" ht="12.75">
      <c r="A76" s="3" t="s">
        <v>126</v>
      </c>
      <c r="B76" s="3"/>
      <c r="C76" s="4" t="s">
        <v>94</v>
      </c>
      <c r="D76" s="6">
        <v>0</v>
      </c>
      <c r="E76" s="6">
        <v>0</v>
      </c>
      <c r="F76" s="6">
        <v>426.16</v>
      </c>
      <c r="G76" s="6">
        <v>261.34</v>
      </c>
      <c r="H76" s="6">
        <v>0</v>
      </c>
      <c r="I76" s="6">
        <f t="shared" si="13"/>
        <v>426.16</v>
      </c>
      <c r="K76" s="2">
        <f t="shared" si="12"/>
        <v>426.16</v>
      </c>
    </row>
    <row r="77" spans="1:11" ht="12.75">
      <c r="A77" s="3" t="s">
        <v>79</v>
      </c>
      <c r="B77" s="3"/>
      <c r="C77" s="4" t="s">
        <v>95</v>
      </c>
      <c r="D77" s="6">
        <v>113542</v>
      </c>
      <c r="E77" s="6">
        <v>153542</v>
      </c>
      <c r="F77" s="6">
        <v>155612.83</v>
      </c>
      <c r="G77" s="6">
        <v>0</v>
      </c>
      <c r="H77" s="6">
        <v>0</v>
      </c>
      <c r="I77" s="6">
        <f t="shared" si="13"/>
        <v>2070.829999999987</v>
      </c>
      <c r="K77" s="2">
        <f t="shared" si="12"/>
        <v>155612.83</v>
      </c>
    </row>
    <row r="78" spans="1:11" ht="12.75">
      <c r="A78" s="3" t="s">
        <v>80</v>
      </c>
      <c r="B78" s="3"/>
      <c r="C78" s="4" t="s">
        <v>100</v>
      </c>
      <c r="D78" s="6">
        <v>100000</v>
      </c>
      <c r="E78" s="6">
        <v>100000</v>
      </c>
      <c r="F78" s="6">
        <v>0</v>
      </c>
      <c r="G78" s="6">
        <v>0</v>
      </c>
      <c r="H78" s="6">
        <v>0</v>
      </c>
      <c r="I78" s="6">
        <f t="shared" si="13"/>
        <v>-100000</v>
      </c>
      <c r="K78" s="2">
        <f t="shared" si="12"/>
        <v>0</v>
      </c>
    </row>
    <row r="80" spans="1:11" s="1" customFormat="1" ht="12.75">
      <c r="A80" s="1">
        <v>405</v>
      </c>
      <c r="C80" s="1" t="s">
        <v>116</v>
      </c>
      <c r="D80" s="2">
        <f aca="true" t="shared" si="14" ref="D80:I80">SUM(D81:D82)</f>
        <v>123461</v>
      </c>
      <c r="E80" s="2">
        <f t="shared" si="14"/>
        <v>133021</v>
      </c>
      <c r="F80" s="2">
        <f t="shared" si="14"/>
        <v>34643.44</v>
      </c>
      <c r="G80" s="2">
        <f t="shared" si="14"/>
        <v>0</v>
      </c>
      <c r="H80" s="2">
        <f t="shared" si="14"/>
        <v>0</v>
      </c>
      <c r="I80" s="2">
        <f t="shared" si="14"/>
        <v>-98377.56</v>
      </c>
      <c r="K80" s="2">
        <f>F80+H80</f>
        <v>34643.44</v>
      </c>
    </row>
    <row r="81" spans="1:11" ht="12.75">
      <c r="A81" s="3" t="s">
        <v>74</v>
      </c>
      <c r="B81" s="3"/>
      <c r="C81" s="4" t="s">
        <v>52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f>F81+H81-E81</f>
        <v>0</v>
      </c>
      <c r="K81" s="2">
        <f>F81+H81</f>
        <v>0</v>
      </c>
    </row>
    <row r="82" spans="1:11" ht="12.75">
      <c r="A82" s="3" t="s">
        <v>75</v>
      </c>
      <c r="B82" s="3"/>
      <c r="C82" s="4" t="s">
        <v>117</v>
      </c>
      <c r="D82" s="6">
        <v>123461</v>
      </c>
      <c r="E82" s="6">
        <v>133021</v>
      </c>
      <c r="F82" s="6">
        <v>34643.44</v>
      </c>
      <c r="G82" s="6">
        <v>0</v>
      </c>
      <c r="H82" s="6">
        <v>0</v>
      </c>
      <c r="I82" s="6">
        <f t="shared" si="13"/>
        <v>-98377.56</v>
      </c>
      <c r="K82" s="2">
        <f>F82+H82</f>
        <v>34643.44</v>
      </c>
    </row>
    <row r="84" spans="1:11" s="1" customFormat="1" ht="12.75">
      <c r="A84" s="1">
        <v>406</v>
      </c>
      <c r="C84" s="1" t="s">
        <v>118</v>
      </c>
      <c r="D84" s="2">
        <v>225000</v>
      </c>
      <c r="E84" s="2">
        <v>237297.87</v>
      </c>
      <c r="F84" s="2">
        <v>108068.75</v>
      </c>
      <c r="G84" s="2">
        <v>1784.52</v>
      </c>
      <c r="H84" s="2">
        <v>0</v>
      </c>
      <c r="I84" s="2">
        <f t="shared" si="13"/>
        <v>-129229.12</v>
      </c>
      <c r="K84" s="2">
        <f>F84+H84</f>
        <v>108068.75</v>
      </c>
    </row>
    <row r="86" spans="1:11" s="1" customFormat="1" ht="12.75">
      <c r="A86" s="1">
        <v>407</v>
      </c>
      <c r="C86" s="1" t="s">
        <v>119</v>
      </c>
      <c r="D86" s="2">
        <v>195000</v>
      </c>
      <c r="E86" s="2">
        <v>204405.5</v>
      </c>
      <c r="F86" s="2">
        <v>9405.5</v>
      </c>
      <c r="G86" s="2">
        <v>0</v>
      </c>
      <c r="H86" s="2">
        <v>0</v>
      </c>
      <c r="I86" s="2">
        <f>F86+H86-E86</f>
        <v>-195000</v>
      </c>
      <c r="K86" s="2">
        <f>F86+H86</f>
        <v>9405.5</v>
      </c>
    </row>
    <row r="88" spans="1:11" s="1" customFormat="1" ht="12.75">
      <c r="A88" s="1">
        <v>408</v>
      </c>
      <c r="C88" s="1" t="s">
        <v>120</v>
      </c>
      <c r="D88" s="2">
        <v>50000</v>
      </c>
      <c r="E88" s="2">
        <v>61804</v>
      </c>
      <c r="F88" s="2">
        <v>11750.09</v>
      </c>
      <c r="G88" s="2">
        <v>0</v>
      </c>
      <c r="H88" s="2">
        <v>0</v>
      </c>
      <c r="I88" s="2">
        <f>F88+H88-E88</f>
        <v>-50053.91</v>
      </c>
      <c r="K88" s="2">
        <f>F88+H88</f>
        <v>11750.09</v>
      </c>
    </row>
    <row r="90" spans="1:11" s="1" customFormat="1" ht="12.75">
      <c r="A90" s="1">
        <v>600</v>
      </c>
      <c r="C90" s="1" t="s">
        <v>51</v>
      </c>
      <c r="D90" s="2">
        <f aca="true" t="shared" si="15" ref="D90:I90">SUM(D91:D94)</f>
        <v>679493</v>
      </c>
      <c r="E90" s="2">
        <f t="shared" si="15"/>
        <v>728676.54</v>
      </c>
      <c r="F90" s="2">
        <f t="shared" si="15"/>
        <v>652468.2100000001</v>
      </c>
      <c r="G90" s="2">
        <f t="shared" si="15"/>
        <v>38181.2</v>
      </c>
      <c r="H90" s="2">
        <f t="shared" si="15"/>
        <v>21697.899999999998</v>
      </c>
      <c r="I90" s="2">
        <f t="shared" si="15"/>
        <v>-54510.43000000003</v>
      </c>
      <c r="K90" s="2">
        <f>F90+H90</f>
        <v>674166.1100000001</v>
      </c>
    </row>
    <row r="91" spans="1:11" ht="12.75">
      <c r="A91" s="4">
        <v>601</v>
      </c>
      <c r="C91" s="4" t="s">
        <v>52</v>
      </c>
      <c r="D91" s="6">
        <v>354362</v>
      </c>
      <c r="E91" s="6">
        <v>384733.7</v>
      </c>
      <c r="F91" s="6">
        <v>350638.54</v>
      </c>
      <c r="G91" s="6">
        <v>29353.18</v>
      </c>
      <c r="H91" s="6">
        <v>18413.8</v>
      </c>
      <c r="I91" s="6">
        <f>F91+H91-E91</f>
        <v>-15681.360000000044</v>
      </c>
      <c r="K91" s="2">
        <f>F91+H91</f>
        <v>369052.33999999997</v>
      </c>
    </row>
    <row r="92" spans="1:11" ht="12.75">
      <c r="A92" s="4">
        <v>602</v>
      </c>
      <c r="C92" s="4" t="s">
        <v>121</v>
      </c>
      <c r="D92" s="6">
        <v>277301</v>
      </c>
      <c r="E92" s="6">
        <v>293388.61</v>
      </c>
      <c r="F92" s="6">
        <v>279860.27</v>
      </c>
      <c r="G92" s="6">
        <v>8258.02</v>
      </c>
      <c r="H92" s="6">
        <v>2732.1</v>
      </c>
      <c r="I92" s="6">
        <f>F92+H92-E92</f>
        <v>-10796.23999999999</v>
      </c>
      <c r="K92" s="2">
        <f>F92+H92</f>
        <v>282592.37</v>
      </c>
    </row>
    <row r="93" spans="1:11" ht="12.75">
      <c r="A93" s="4">
        <v>603</v>
      </c>
      <c r="C93" s="4" t="s">
        <v>122</v>
      </c>
      <c r="D93" s="6">
        <v>20000</v>
      </c>
      <c r="E93" s="6">
        <v>20000</v>
      </c>
      <c r="F93" s="6">
        <v>2287.13</v>
      </c>
      <c r="G93" s="6">
        <v>0</v>
      </c>
      <c r="H93" s="6">
        <v>0</v>
      </c>
      <c r="I93" s="6">
        <f>F93+H93-E93</f>
        <v>-17712.87</v>
      </c>
      <c r="K93" s="2">
        <f>F93+H93</f>
        <v>2287.13</v>
      </c>
    </row>
    <row r="94" spans="1:11" ht="12.75">
      <c r="A94" s="4">
        <v>605</v>
      </c>
      <c r="C94" s="4" t="s">
        <v>54</v>
      </c>
      <c r="D94" s="6">
        <v>27830</v>
      </c>
      <c r="E94" s="6">
        <v>30554.23</v>
      </c>
      <c r="F94" s="6">
        <v>19682.27</v>
      </c>
      <c r="G94" s="6">
        <v>570</v>
      </c>
      <c r="H94" s="6">
        <v>552</v>
      </c>
      <c r="I94" s="6">
        <f>F94+H94-E94</f>
        <v>-10319.96</v>
      </c>
      <c r="K94" s="2">
        <f>F94+H94</f>
        <v>20234.27</v>
      </c>
    </row>
    <row r="97" spans="1:11" s="1" customFormat="1" ht="12.75">
      <c r="A97" s="1">
        <v>800</v>
      </c>
      <c r="D97" s="2">
        <f aca="true" t="shared" si="16" ref="D97:I97">SUM(D98:D104)</f>
        <v>117899</v>
      </c>
      <c r="E97" s="2">
        <f t="shared" si="16"/>
        <v>126369.53</v>
      </c>
      <c r="F97" s="2">
        <f t="shared" si="16"/>
        <v>59332.93</v>
      </c>
      <c r="G97" s="2">
        <f t="shared" si="16"/>
        <v>1222.1799999999998</v>
      </c>
      <c r="H97" s="2">
        <f t="shared" si="16"/>
        <v>0</v>
      </c>
      <c r="I97" s="2">
        <f t="shared" si="16"/>
        <v>-67036.59999999999</v>
      </c>
      <c r="K97" s="2">
        <f>F97+H97</f>
        <v>59332.93</v>
      </c>
    </row>
    <row r="98" spans="1:11" ht="12.75">
      <c r="A98" s="4">
        <v>801</v>
      </c>
      <c r="C98" s="4" t="s">
        <v>39</v>
      </c>
      <c r="D98" s="6">
        <v>41750</v>
      </c>
      <c r="E98" s="6">
        <v>41750</v>
      </c>
      <c r="F98" s="6">
        <v>29370.08</v>
      </c>
      <c r="G98" s="6">
        <v>3.71</v>
      </c>
      <c r="H98" s="6">
        <v>0</v>
      </c>
      <c r="I98" s="6">
        <f aca="true" t="shared" si="17" ref="I98:I104">F98+H98-E98</f>
        <v>-12379.919999999998</v>
      </c>
      <c r="K98" s="2">
        <f aca="true" t="shared" si="18" ref="K98:K104">F98+H98</f>
        <v>29370.08</v>
      </c>
    </row>
    <row r="99" spans="1:11" ht="12.75">
      <c r="A99" s="4">
        <v>804</v>
      </c>
      <c r="C99" s="4" t="s">
        <v>40</v>
      </c>
      <c r="D99" s="6">
        <v>5600</v>
      </c>
      <c r="E99" s="6">
        <v>5600</v>
      </c>
      <c r="F99" s="6">
        <v>3101.55</v>
      </c>
      <c r="G99" s="6">
        <v>83.2</v>
      </c>
      <c r="H99" s="6">
        <v>0</v>
      </c>
      <c r="I99" s="6">
        <f t="shared" si="17"/>
        <v>-2498.45</v>
      </c>
      <c r="K99" s="2">
        <f t="shared" si="18"/>
        <v>3101.55</v>
      </c>
    </row>
    <row r="100" spans="1:11" ht="12.75">
      <c r="A100" s="4">
        <v>805</v>
      </c>
      <c r="C100" s="4" t="s">
        <v>41</v>
      </c>
      <c r="D100" s="6">
        <v>33100</v>
      </c>
      <c r="E100" s="6">
        <v>38940</v>
      </c>
      <c r="F100" s="6">
        <v>6498.08</v>
      </c>
      <c r="G100" s="6">
        <v>301</v>
      </c>
      <c r="H100" s="6">
        <v>0</v>
      </c>
      <c r="I100" s="6">
        <f t="shared" si="17"/>
        <v>-32441.92</v>
      </c>
      <c r="K100" s="2">
        <f t="shared" si="18"/>
        <v>6498.08</v>
      </c>
    </row>
    <row r="101" spans="1:11" ht="12.75">
      <c r="A101" s="4">
        <v>806</v>
      </c>
      <c r="C101" s="4" t="s">
        <v>110</v>
      </c>
      <c r="D101" s="6">
        <v>857</v>
      </c>
      <c r="E101" s="6">
        <v>857</v>
      </c>
      <c r="F101" s="6">
        <v>0</v>
      </c>
      <c r="G101" s="6">
        <v>0</v>
      </c>
      <c r="H101" s="6">
        <v>0</v>
      </c>
      <c r="I101" s="6">
        <f t="shared" si="17"/>
        <v>-857</v>
      </c>
      <c r="K101" s="2">
        <f t="shared" si="18"/>
        <v>0</v>
      </c>
    </row>
    <row r="102" spans="1:11" ht="12.75">
      <c r="A102" s="4">
        <v>808</v>
      </c>
      <c r="C102" s="4" t="s">
        <v>111</v>
      </c>
      <c r="D102" s="6">
        <v>516</v>
      </c>
      <c r="E102" s="6">
        <v>516</v>
      </c>
      <c r="F102" s="6">
        <v>0</v>
      </c>
      <c r="G102" s="6">
        <v>0</v>
      </c>
      <c r="H102" s="6">
        <v>0</v>
      </c>
      <c r="I102" s="6">
        <f t="shared" si="17"/>
        <v>-516</v>
      </c>
      <c r="K102" s="2">
        <f t="shared" si="18"/>
        <v>0</v>
      </c>
    </row>
    <row r="103" spans="1:11" ht="12.75">
      <c r="A103" s="4">
        <v>809</v>
      </c>
      <c r="C103" s="4" t="s">
        <v>42</v>
      </c>
      <c r="D103" s="6">
        <v>35000</v>
      </c>
      <c r="E103" s="6">
        <v>37630.53</v>
      </c>
      <c r="F103" s="6">
        <v>20363.22</v>
      </c>
      <c r="G103" s="6">
        <v>834.27</v>
      </c>
      <c r="H103" s="6">
        <v>0</v>
      </c>
      <c r="I103" s="6">
        <f t="shared" si="17"/>
        <v>-17267.309999999998</v>
      </c>
      <c r="K103" s="2">
        <f t="shared" si="18"/>
        <v>20363.22</v>
      </c>
    </row>
    <row r="104" spans="1:11" s="14" customFormat="1" ht="12.75">
      <c r="A104" s="14">
        <v>810</v>
      </c>
      <c r="C104" s="14" t="s">
        <v>55</v>
      </c>
      <c r="D104" s="15">
        <v>1076</v>
      </c>
      <c r="E104" s="15">
        <v>1076</v>
      </c>
      <c r="F104" s="15">
        <v>0</v>
      </c>
      <c r="G104" s="15">
        <v>0</v>
      </c>
      <c r="H104" s="15">
        <v>0</v>
      </c>
      <c r="I104" s="15">
        <f t="shared" si="17"/>
        <v>-1076</v>
      </c>
      <c r="K104" s="2">
        <f t="shared" si="18"/>
        <v>0</v>
      </c>
    </row>
    <row r="107" spans="3:11" s="1" customFormat="1" ht="12.75">
      <c r="C107" s="1" t="s">
        <v>123</v>
      </c>
      <c r="D107" s="2">
        <f aca="true" t="shared" si="19" ref="D107:I107">D5+D30+D45+D49+D90+D97</f>
        <v>5264595.46</v>
      </c>
      <c r="E107" s="2">
        <f t="shared" si="19"/>
        <v>5513177.1899999995</v>
      </c>
      <c r="F107" s="2">
        <f t="shared" si="19"/>
        <v>4038517.7200000007</v>
      </c>
      <c r="G107" s="2">
        <f t="shared" si="19"/>
        <v>263517.88</v>
      </c>
      <c r="H107" s="2">
        <f t="shared" si="19"/>
        <v>208568.79</v>
      </c>
      <c r="I107" s="2">
        <f t="shared" si="19"/>
        <v>-1266090.6799999997</v>
      </c>
      <c r="K107" s="2">
        <f>K5+K30+K45+K49+K90+K97</f>
        <v>4247086.510000001</v>
      </c>
    </row>
    <row r="108" spans="4:9" s="1" customFormat="1" ht="12.75">
      <c r="D108" s="2"/>
      <c r="E108" s="2"/>
      <c r="F108" s="2"/>
      <c r="G108" s="2"/>
      <c r="H108" s="2"/>
      <c r="I108" s="2"/>
    </row>
    <row r="109" spans="4:9" s="1" customFormat="1" ht="12.75">
      <c r="D109" s="2"/>
      <c r="E109" s="2"/>
      <c r="F109" s="2"/>
      <c r="G109" s="2"/>
      <c r="H109" s="2"/>
      <c r="I109" s="2"/>
    </row>
    <row r="110" spans="4:9" s="1" customFormat="1" ht="12.75">
      <c r="D110" s="2"/>
      <c r="E110" s="2"/>
      <c r="F110" s="2"/>
      <c r="G110" s="2"/>
      <c r="H110" s="2"/>
      <c r="I110" s="2"/>
    </row>
  </sheetData>
  <printOptions/>
  <pageMargins left="0.5" right="0.5" top="0.25" bottom="0.25" header="0.25" footer="0.25"/>
  <pageSetup horizontalDpi="600" verticalDpi="600" orientation="landscape" r:id="rId1"/>
  <headerFooter alignWithMargins="0">
    <oddFooter>&amp;L&amp;8&amp;F</oddFooter>
  </headerFooter>
  <rowBreaks count="2" manualBreakCount="2">
    <brk id="29" max="255" man="1"/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Hoop</dc:creator>
  <cp:keywords/>
  <dc:description/>
  <cp:lastModifiedBy>rmhoop</cp:lastModifiedBy>
  <cp:lastPrinted>2009-01-30T07:15:19Z</cp:lastPrinted>
  <dcterms:created xsi:type="dcterms:W3CDTF">2007-12-10T21:07:49Z</dcterms:created>
  <dcterms:modified xsi:type="dcterms:W3CDTF">2009-01-30T07:20:29Z</dcterms:modified>
  <cp:category/>
  <cp:version/>
  <cp:contentType/>
  <cp:contentStatus/>
</cp:coreProperties>
</file>